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800"/>
  </bookViews>
  <sheets>
    <sheet name="Калькуляция" sheetId="1" r:id="rId1"/>
    <sheet name="Выходная форма ЕР" sheetId="3" r:id="rId2"/>
    <sheet name="ЛСР" sheetId="5" r:id="rId3"/>
  </sheets>
  <definedNames>
    <definedName name="_xlnm._FilterDatabase" localSheetId="2" hidden="1">ЛСР!$A$36:$L$135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3" i="1" l="1"/>
  <c r="M53" i="1"/>
  <c r="N52" i="1"/>
  <c r="M52" i="1"/>
  <c r="N47" i="1"/>
  <c r="N48" i="1" l="1"/>
  <c r="M48" i="1"/>
  <c r="A50" i="1"/>
  <c r="A49" i="1"/>
  <c r="N43" i="1" l="1"/>
  <c r="N44" i="1"/>
  <c r="N45" i="1"/>
  <c r="N46" i="1"/>
  <c r="M42" i="1" l="1"/>
  <c r="M43" i="1"/>
  <c r="L43" i="1"/>
  <c r="N51" i="1"/>
  <c r="M51" i="1"/>
  <c r="L47" i="1"/>
  <c r="L46" i="1"/>
  <c r="L45" i="1"/>
  <c r="M47" i="1"/>
  <c r="M46" i="1"/>
  <c r="M45" i="1"/>
  <c r="K13" i="1" l="1"/>
  <c r="L13" i="1"/>
  <c r="J13" i="1"/>
  <c r="M17" i="1" l="1"/>
  <c r="A6" i="3"/>
  <c r="M14" i="1" l="1"/>
  <c r="L25" i="1" l="1"/>
  <c r="K25" i="1"/>
  <c r="K27" i="1"/>
  <c r="L27" i="1"/>
  <c r="B84" i="1"/>
  <c r="B90" i="1"/>
  <c r="L17" i="1"/>
  <c r="D36" i="1"/>
  <c r="D34" i="1"/>
  <c r="D32" i="1"/>
  <c r="M32" i="1" s="1"/>
  <c r="D30" i="1"/>
  <c r="D28" i="1"/>
  <c r="M28" i="1" s="1"/>
  <c r="D26" i="1"/>
  <c r="M26" i="1" s="1"/>
  <c r="D24" i="1"/>
  <c r="D22" i="1"/>
  <c r="D20" i="1"/>
  <c r="I6" i="3"/>
  <c r="L50" i="1"/>
  <c r="M50" i="1" s="1"/>
  <c r="L49" i="1"/>
  <c r="M49" i="1" s="1"/>
  <c r="B96" i="1"/>
  <c r="L51" i="1"/>
  <c r="L48" i="1"/>
  <c r="L28" i="1"/>
  <c r="L36" i="1"/>
  <c r="L34" i="1"/>
  <c r="L32" i="1"/>
  <c r="L30" i="1"/>
  <c r="L24" i="1"/>
  <c r="L22" i="1"/>
  <c r="L20" i="1"/>
  <c r="L26" i="1"/>
  <c r="N25" i="1" l="1"/>
  <c r="M25" i="1" s="1"/>
  <c r="N49" i="1"/>
  <c r="N26" i="1"/>
  <c r="M34" i="1"/>
  <c r="N34" i="1" s="1"/>
  <c r="N27" i="1"/>
  <c r="M27" i="1" s="1"/>
  <c r="M24" i="1"/>
  <c r="N24" i="1" s="1"/>
  <c r="N50" i="1"/>
  <c r="M20" i="1"/>
  <c r="N28" i="1"/>
  <c r="M36" i="1"/>
  <c r="N36" i="1" s="1"/>
  <c r="M22" i="1"/>
  <c r="N22" i="1" s="1"/>
  <c r="M30" i="1"/>
  <c r="N30" i="1" s="1"/>
  <c r="N32" i="1"/>
  <c r="M38" i="1" l="1"/>
  <c r="N20" i="1"/>
  <c r="I13" i="1"/>
  <c r="L44" i="1"/>
  <c r="M44" i="1" s="1"/>
  <c r="L42" i="1"/>
  <c r="L41" i="1"/>
  <c r="L40" i="1"/>
  <c r="L39" i="1"/>
  <c r="M39" i="1" s="1"/>
  <c r="N39" i="1" s="1"/>
  <c r="L35" i="1"/>
  <c r="L33" i="1"/>
  <c r="L31" i="1"/>
  <c r="M31" i="1" s="1"/>
  <c r="N31" i="1" s="1"/>
  <c r="L29" i="1"/>
  <c r="M29" i="1" s="1"/>
  <c r="N29" i="1" s="1"/>
  <c r="L23" i="1"/>
  <c r="M23" i="1" s="1"/>
  <c r="N23" i="1" s="1"/>
  <c r="L21" i="1"/>
  <c r="M21" i="1" s="1"/>
  <c r="N21" i="1" s="1"/>
  <c r="L19" i="1"/>
  <c r="M19" i="1" s="1"/>
  <c r="N19" i="1" l="1"/>
  <c r="M40" i="1"/>
  <c r="N40" i="1" s="1"/>
  <c r="M33" i="1"/>
  <c r="N33" i="1" s="1"/>
  <c r="M41" i="1"/>
  <c r="N41" i="1" s="1"/>
  <c r="M35" i="1"/>
  <c r="N35" i="1" s="1"/>
  <c r="N42" i="1"/>
  <c r="N38" i="1"/>
  <c r="N56" i="1" s="1"/>
  <c r="G6" i="3" s="1"/>
  <c r="M37" i="1" l="1"/>
  <c r="M57" i="1"/>
  <c r="M56" i="1"/>
  <c r="G50" i="5"/>
  <c r="G49" i="5"/>
  <c r="E46" i="5"/>
  <c r="B40" i="5"/>
  <c r="K113" i="5"/>
  <c r="K107" i="5"/>
  <c r="K94" i="5"/>
  <c r="K88" i="5"/>
  <c r="K43" i="5"/>
  <c r="K41" i="5"/>
  <c r="G40" i="5"/>
  <c r="M16" i="1" l="1"/>
  <c r="G46" i="5"/>
  <c r="G130" i="5" l="1"/>
  <c r="J32" i="5" s="1"/>
  <c r="J119" i="5"/>
  <c r="L119" i="5" l="1"/>
  <c r="E45" i="5" l="1"/>
  <c r="G45" i="5" s="1"/>
  <c r="G129" i="5" s="1"/>
  <c r="J31" i="5" s="1"/>
  <c r="C6" i="3"/>
  <c r="D40" i="5" s="1"/>
  <c r="B5" i="3"/>
  <c r="C5" i="3" s="1"/>
  <c r="D5" i="3" s="1"/>
  <c r="E5" i="3" s="1"/>
  <c r="F5" i="3" s="1"/>
  <c r="G5" i="3" s="1"/>
  <c r="H5" i="3" s="1"/>
  <c r="I5" i="3" s="1"/>
  <c r="B6" i="3"/>
  <c r="C40" i="5" s="1"/>
  <c r="H43" i="5" l="1"/>
  <c r="J43" i="5" s="1"/>
  <c r="J90" i="5" s="1"/>
  <c r="N17" i="1"/>
  <c r="B15" i="1" l="1"/>
  <c r="M55" i="1"/>
  <c r="N37" i="1"/>
  <c r="N55" i="1" s="1"/>
  <c r="F6" i="3" s="1"/>
  <c r="N57" i="1"/>
  <c r="H6" i="3" s="1"/>
  <c r="H44" i="5" s="1"/>
  <c r="J44" i="5" s="1"/>
  <c r="L43" i="5"/>
  <c r="L109" i="5" s="1"/>
  <c r="J109" i="5"/>
  <c r="J59" i="5"/>
  <c r="C15" i="1" l="1"/>
  <c r="D15" i="1" s="1"/>
  <c r="E15" i="1" s="1"/>
  <c r="M54" i="1"/>
  <c r="J113" i="5"/>
  <c r="J111" i="5" s="1"/>
  <c r="J63" i="5"/>
  <c r="J61" i="5" s="1"/>
  <c r="J94" i="5"/>
  <c r="J92" i="5" s="1"/>
  <c r="N54" i="1"/>
  <c r="E6" i="3" s="1"/>
  <c r="N16" i="1"/>
  <c r="L59" i="5"/>
  <c r="L90" i="5"/>
  <c r="H42" i="5"/>
  <c r="F15" i="1" l="1"/>
  <c r="L113" i="5"/>
  <c r="L111" i="5" s="1"/>
  <c r="H41" i="5"/>
  <c r="J41" i="5" s="1"/>
  <c r="L94" i="5"/>
  <c r="L92" i="5" s="1"/>
  <c r="D6" i="3"/>
  <c r="J42" i="5"/>
  <c r="H47" i="5" l="1"/>
  <c r="J104" i="5"/>
  <c r="K29" i="5" s="1"/>
  <c r="J54" i="5"/>
  <c r="J48" i="5"/>
  <c r="L41" i="5"/>
  <c r="J85" i="5"/>
  <c r="J107" i="5"/>
  <c r="J47" i="5"/>
  <c r="J57" i="5"/>
  <c r="J55" i="5" s="1"/>
  <c r="J88" i="5"/>
  <c r="G15" i="1" l="1"/>
  <c r="J52" i="5"/>
  <c r="L54" i="5"/>
  <c r="L48" i="5"/>
  <c r="L104" i="5"/>
  <c r="J29" i="5" s="1"/>
  <c r="L85" i="5"/>
  <c r="J116" i="5"/>
  <c r="J66" i="5"/>
  <c r="J50" i="5"/>
  <c r="J49" i="5"/>
  <c r="J97" i="5"/>
  <c r="J86" i="5"/>
  <c r="J83" i="5" s="1"/>
  <c r="L88" i="5"/>
  <c r="L86" i="5" s="1"/>
  <c r="L107" i="5"/>
  <c r="L105" i="5" s="1"/>
  <c r="J105" i="5"/>
  <c r="J102" i="5" s="1"/>
  <c r="H15" i="1" l="1"/>
  <c r="L102" i="5"/>
  <c r="L83" i="5"/>
  <c r="J117" i="5"/>
  <c r="J67" i="5"/>
  <c r="J98" i="5"/>
  <c r="J51" i="5"/>
  <c r="L116" i="5"/>
  <c r="L66" i="5"/>
  <c r="L97" i="5"/>
  <c r="L49" i="5"/>
  <c r="L50" i="5"/>
  <c r="J118" i="5"/>
  <c r="J99" i="5"/>
  <c r="J68" i="5"/>
  <c r="I15" i="1" l="1"/>
  <c r="J81" i="5"/>
  <c r="E31" i="5" s="1"/>
  <c r="J101" i="5"/>
  <c r="E29" i="5" s="1"/>
  <c r="J74" i="5"/>
  <c r="L99" i="5"/>
  <c r="L118" i="5"/>
  <c r="L68" i="5"/>
  <c r="L117" i="5"/>
  <c r="L67" i="5"/>
  <c r="L98" i="5"/>
  <c r="J15" i="1" l="1"/>
  <c r="L101" i="5"/>
  <c r="D29" i="5" s="1"/>
  <c r="L81" i="5"/>
  <c r="D31" i="5" s="1"/>
  <c r="K15" i="1" l="1"/>
  <c r="L15" i="1" l="1"/>
  <c r="M15" i="1" l="1"/>
  <c r="N15" i="1"/>
</calcChain>
</file>

<file path=xl/sharedStrings.xml><?xml version="1.0" encoding="utf-8"?>
<sst xmlns="http://schemas.openxmlformats.org/spreadsheetml/2006/main" count="324" uniqueCount="237">
  <si>
    <t>шт</t>
  </si>
  <si>
    <t>Затраты труда машинистов</t>
  </si>
  <si>
    <t>91.02.04-036</t>
  </si>
  <si>
    <t>Установки шнекового бурения для устройства буронабивных свай на базе крана на гусеничном ходу, грузоподъемностью 25 т, глубина бурения до 30 м, диаметр бурения до 600 мм, диаметр уширенной полости до 1600 мм</t>
  </si>
  <si>
    <t>маш.-ч</t>
  </si>
  <si>
    <t>91.14.02-003</t>
  </si>
  <si>
    <t>Автомобили бортовые, грузоподъемность до 10 т</t>
  </si>
  <si>
    <t>91.17.04-042</t>
  </si>
  <si>
    <t>Аппараты для газовой сварки и резки</t>
  </si>
  <si>
    <t>01.3.02.08-0001</t>
  </si>
  <si>
    <t>Кислород газообразный технический</t>
  </si>
  <si>
    <t>м3</t>
  </si>
  <si>
    <t>01.3.02.09-0022</t>
  </si>
  <si>
    <t>Пропан-бутан смесь техническая</t>
  </si>
  <si>
    <t>кг</t>
  </si>
  <si>
    <t>т</t>
  </si>
  <si>
    <t>Устройство буроинъекционных свай с использованием разрядно-импульсной технологии (РИТ) с применением передвижного механизированного комплекса (ПМК) на слабом основании диаметром скважины до 300 мм: длиной 3 м</t>
  </si>
  <si>
    <t>1-100-39</t>
  </si>
  <si>
    <t>91.04.01-524</t>
  </si>
  <si>
    <t>Установки буровые на гусеничном ходу, диаметр бурения 40-406 мм, глубина бурения до 30 м</t>
  </si>
  <si>
    <t>91.07.07-013</t>
  </si>
  <si>
    <t>Растворонасосы, производительность 6 м3/ч</t>
  </si>
  <si>
    <t>91.09.12-522</t>
  </si>
  <si>
    <t>Комплексы передвижные механизированные сборные секционные для перемещения оборудования при устройстве буроинъекционных свай с использованием разрядно-импульсной технологии, двухплатформенные, с двумя лебедками тяговым усилием 3,2 т, грузоподъемность 50 т</t>
  </si>
  <si>
    <t>91.09.13-014</t>
  </si>
  <si>
    <t>Установки высоковольтные электроимпульсные для создания электрических разрядов в грунте при производстве свай по разрядно-импульсной технологии, наибольшее значение запасаемой энергии 40 кДж, значение емкости накопителя энергии 1000 мкФ, диапазон регулирования выходного напряжения 7-9 кВ, потребляемая мощность 10 кВт</t>
  </si>
  <si>
    <t>91.13.03-041</t>
  </si>
  <si>
    <t>Автоцистерны</t>
  </si>
  <si>
    <t>91.16.01-004</t>
  </si>
  <si>
    <t>Электростанции передвижные, мощность 60 кВт</t>
  </si>
  <si>
    <t>01.7.03.01-0001</t>
  </si>
  <si>
    <t>Вода</t>
  </si>
  <si>
    <t>01.7.08.05-0006</t>
  </si>
  <si>
    <t>Добавка пластифицирующая к бетонным смесям</t>
  </si>
  <si>
    <t>Песок природный для строительных работ II класс, средний</t>
  </si>
  <si>
    <t>03.2.01.02-0012</t>
  </si>
  <si>
    <t>Портландцемент с минеральными добавками М400 Д20 (ЦЕМ II 32,5Н)</t>
  </si>
  <si>
    <t>Конденсатор импульсный, номинальное напряжение 5 кВ, емкость 200 мкФ, материал корпуса сталь, высота с выводами 673 мм, УХЛ4</t>
  </si>
  <si>
    <t>Электрод грунтовый с кабелем длиной 22 м, рабочее напряжение 5-10 кВ, размеры гильзы 60х430 мм</t>
  </si>
  <si>
    <t>Разрядник управляемый, рабочее напряжение 5-10 кВ, ресурс 50 тысяч срабатываний, размеры 120х120х250 мм</t>
  </si>
  <si>
    <t>ФСНБ-2022</t>
  </si>
  <si>
    <t>Шифр расценки</t>
  </si>
  <si>
    <t>Количество на измеритель</t>
  </si>
  <si>
    <t>Измеритель / единица измерения</t>
  </si>
  <si>
    <t>в том числе оплата труда машинистов</t>
  </si>
  <si>
    <t>ФСНБ-2020</t>
  </si>
  <si>
    <t>*</t>
  </si>
  <si>
    <t>Средний разряд машинистов</t>
  </si>
  <si>
    <t>Количество машинистов</t>
  </si>
  <si>
    <t>ОТ</t>
  </si>
  <si>
    <t>ЭМ</t>
  </si>
  <si>
    <t>в т.ч. ОТм</t>
  </si>
  <si>
    <t>М</t>
  </si>
  <si>
    <t>ЗТ</t>
  </si>
  <si>
    <t>чел.-ч</t>
  </si>
  <si>
    <t>ЗТм</t>
  </si>
  <si>
    <t>Прямые затраты, руб.</t>
  </si>
  <si>
    <t>В том числе, руб.</t>
  </si>
  <si>
    <t>Затраты труда рабочих, чел.-ч</t>
  </si>
  <si>
    <t>Коды неучтенных материалов</t>
  </si>
  <si>
    <t>Наименование и характеристика не учтенных расценками материалов, ед. изм.</t>
  </si>
  <si>
    <t>оплата труда рабочих</t>
  </si>
  <si>
    <t>эксплуатация машин</t>
  </si>
  <si>
    <t>материалы</t>
  </si>
  <si>
    <t>всего</t>
  </si>
  <si>
    <t>в т.ч. оплата труда машинистов</t>
  </si>
  <si>
    <t>расход неучтенных материалов</t>
  </si>
  <si>
    <t>Наименование и характеристика строительных работ и конструкций, измеритель</t>
  </si>
  <si>
    <t>Сметная цена за единицу измерения в базисном уровне цен по состоянию на 01.01.2022,
руб./ ед.изм.</t>
  </si>
  <si>
    <t>Итого стоимость машин и механизмов</t>
  </si>
  <si>
    <t>Итого стоимость материалов, изделий, конструкций</t>
  </si>
  <si>
    <t>**</t>
  </si>
  <si>
    <t xml:space="preserve">оплата труда - </t>
  </si>
  <si>
    <t xml:space="preserve">материалы, изделия и конструкции - </t>
  </si>
  <si>
    <t xml:space="preserve">эксплуатация машин и механизмов - </t>
  </si>
  <si>
    <t>ГЭСН 28-01-111-03
калькуляция 421/пр_п.10_пп.б</t>
  </si>
  <si>
    <t>Наименование программного продукта</t>
  </si>
  <si>
    <t>ХХХХХХХ</t>
  </si>
  <si>
    <t>Наименование редакции сметных нормативов</t>
  </si>
  <si>
    <t xml:space="preserve">Реквизиты приказа Минстроя России об утверждении дополнений и изменений к сметным нормативам
</t>
  </si>
  <si>
    <t>Реквизиты письма Минстроя России об индексах изменения сметной стоимости строительства,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 подготовленного в соответствии с пунктом 85 Методики расчета индексов изменения сметной стоимости строительства, утвержденной приказом Министерства строительства и жилищно-коммунального хозяйства Российской Федерации от 5 июня 2019 г. N 326/пр</t>
  </si>
  <si>
    <t>Реквизиты нормативного правового акта об утверждении оплаты труда, утверждаемый в соответствии с пунктом 22(1) Правилами мониторинга цен, утвержденными постановлением Правительства Российской Федерации от 23 декабря 2016 г. N 1452</t>
  </si>
  <si>
    <t>Постановление Правительства ХХХХХХХ области от ХХ.ХХ.ХХХХ № ХХХ</t>
  </si>
  <si>
    <t>Наименование субъекта Российской Федерации</t>
  </si>
  <si>
    <t>Наименование зоны субъекта Российской Федерации</t>
  </si>
  <si>
    <t>Строительство объекта капитального строительства по адресу: г. N……</t>
  </si>
  <si>
    <t>(наименование стройки)</t>
  </si>
  <si>
    <t>Объект капитального строительства</t>
  </si>
  <si>
    <t xml:space="preserve">                (наименование объекта капитального строительства)
</t>
  </si>
  <si>
    <t>ЛОКАЛЬНЫЙ СМЕТНЫЙ РАСЧЕТ (СМЕТА) № ЛС-02-01-01</t>
  </si>
  <si>
    <t>(наименование работ и затрат)</t>
  </si>
  <si>
    <t>Составлен</t>
  </si>
  <si>
    <t xml:space="preserve">базисно-индексным </t>
  </si>
  <si>
    <t>методом</t>
  </si>
  <si>
    <t>Основание</t>
  </si>
  <si>
    <t>(проектная и (или) иная техническая документация)</t>
  </si>
  <si>
    <t>Составлен(а) в текущем (базисном) уровне цен</t>
  </si>
  <si>
    <t>Сметная стоимость</t>
  </si>
  <si>
    <t>тыс. руб.</t>
  </si>
  <si>
    <t>Средства на оплату труда рабочих</t>
  </si>
  <si>
    <t>тыс.руб.</t>
  </si>
  <si>
    <t>в том числе:</t>
  </si>
  <si>
    <t>строительных работ</t>
  </si>
  <si>
    <t xml:space="preserve">Нормативные затраты труда рабочих </t>
  </si>
  <si>
    <t xml:space="preserve">монтажных работ    </t>
  </si>
  <si>
    <t xml:space="preserve">Нормативные затраты труда машинистов </t>
  </si>
  <si>
    <t xml:space="preserve">оборудования         </t>
  </si>
  <si>
    <t xml:space="preserve">прочих затрат       </t>
  </si>
  <si>
    <t>№ п/п</t>
  </si>
  <si>
    <t>Обоснование</t>
  </si>
  <si>
    <t>Наименование работ и затрат</t>
  </si>
  <si>
    <t>Единица измерения</t>
  </si>
  <si>
    <t>Количество</t>
  </si>
  <si>
    <t>Сметная стоимость в базисном уровне цен 
(в текущем уровне цен (гр.8) для ресурсов, отсутствующих в ФРСН), руб.</t>
  </si>
  <si>
    <t>Индексы</t>
  </si>
  <si>
    <t>Сметная стоимость 
в текущем уровне цен, руб.</t>
  </si>
  <si>
    <t>на 
единицу измерения</t>
  </si>
  <si>
    <t>коэффици-енты</t>
  </si>
  <si>
    <t>всего с учетом коэффициентов</t>
  </si>
  <si>
    <t>коэффициенты</t>
  </si>
  <si>
    <t>1</t>
  </si>
  <si>
    <t>Итого по расценке</t>
  </si>
  <si>
    <t>ФОТ</t>
  </si>
  <si>
    <t>%</t>
  </si>
  <si>
    <t>Всего по позиции</t>
  </si>
  <si>
    <t xml:space="preserve">     в том числе</t>
  </si>
  <si>
    <t xml:space="preserve">     оплата труда (ОТ)</t>
  </si>
  <si>
    <t xml:space="preserve">     эксплуатация машин и механизмов</t>
  </si>
  <si>
    <t xml:space="preserve">          в том числе</t>
  </si>
  <si>
    <t xml:space="preserve">          эксплуатация машин и механизмов без учета доплат к оплате труда машинистов</t>
  </si>
  <si>
    <t xml:space="preserve">              в том числе</t>
  </si>
  <si>
    <t xml:space="preserve">              оплата труда машинистов (ОТм)</t>
  </si>
  <si>
    <t xml:space="preserve">          доплаты к оплате труда машинистов</t>
  </si>
  <si>
    <t xml:space="preserve">     материальные ресурсы</t>
  </si>
  <si>
    <t xml:space="preserve">         материальные ресурсы без учета дополнительной перевозки</t>
  </si>
  <si>
    <t xml:space="preserve">         дополнительная перевозка материальных ресурсов</t>
  </si>
  <si>
    <t xml:space="preserve">     перевозка</t>
  </si>
  <si>
    <t>Итого ФОТ</t>
  </si>
  <si>
    <t>Итого накладные расходы</t>
  </si>
  <si>
    <t>Итого сметная прибыль</t>
  </si>
  <si>
    <t>Итого оборудование</t>
  </si>
  <si>
    <t xml:space="preserve">          оборудование без учета дополнительной перевозки</t>
  </si>
  <si>
    <t xml:space="preserve">          дополнительная перевозка оборудования</t>
  </si>
  <si>
    <t>Итого прочие затраты</t>
  </si>
  <si>
    <t xml:space="preserve">          материальные ресурсы, отсутствующие в ФРСН</t>
  </si>
  <si>
    <t xml:space="preserve">          оборудование, отсутствующее в ФРСН</t>
  </si>
  <si>
    <t>ИТОГИ ПО СМЕТЕ</t>
  </si>
  <si>
    <t>ВСЕГО строительные работы</t>
  </si>
  <si>
    <t>в том числе</t>
  </si>
  <si>
    <t>прямые затраты</t>
  </si>
  <si>
    <t>ФОТ(справочно)</t>
  </si>
  <si>
    <t>накладные расходы</t>
  </si>
  <si>
    <t>сметная прибыль</t>
  </si>
  <si>
    <t>ВСЕГО ПО СМЕТЕ</t>
  </si>
  <si>
    <t xml:space="preserve">Всего прямые затраты </t>
  </si>
  <si>
    <t>Всего ФОТ(справочно)</t>
  </si>
  <si>
    <t>Всего накладные расходы</t>
  </si>
  <si>
    <t>Всего сметная прибыль</t>
  </si>
  <si>
    <t>Всего оборудование</t>
  </si>
  <si>
    <t xml:space="preserve">     оборудование без учета дополнительной перевозки</t>
  </si>
  <si>
    <t xml:space="preserve">     дополнительная перевозка оборудования</t>
  </si>
  <si>
    <t>Всего прочие затраты</t>
  </si>
  <si>
    <t xml:space="preserve">          Справочно</t>
  </si>
  <si>
    <t xml:space="preserve">          затраты труда рабочих</t>
  </si>
  <si>
    <t xml:space="preserve">          затраты труда машинистов</t>
  </si>
  <si>
    <t>Составил</t>
  </si>
  <si>
    <t>Проверил</t>
  </si>
  <si>
    <t>Пример локального сметного расчета (сметы)_базисно-индексный метод с применением индексов по элементам прямых затрат_калькуляция ЕР по ГЭСН для РИМ</t>
  </si>
  <si>
    <t>Пр/812-022.0-1</t>
  </si>
  <si>
    <t>Пр/774-022.0</t>
  </si>
  <si>
    <t>НР Железные дороги</t>
  </si>
  <si>
    <t>СП Железные дороги</t>
  </si>
  <si>
    <t>Итого прямые затраты по Разделу 1. ХХХХХ</t>
  </si>
  <si>
    <t>Раздел 1. ХХХХХ</t>
  </si>
  <si>
    <t>Итого по разделу 1. ХХХХХ</t>
  </si>
  <si>
    <t>Новосибирская область</t>
  </si>
  <si>
    <t>ИТОГО, в том числе:</t>
  </si>
  <si>
    <t>Оплата труда рабочих</t>
  </si>
  <si>
    <t>Примечания:</t>
  </si>
  <si>
    <t>"Прочие объекты"</t>
  </si>
  <si>
    <t>Новосибирская область (1 зона)</t>
  </si>
  <si>
    <t>Перевозка грузов I класса автомобилями-самосвалами грузоподъемностью 10 т работающих вне карьера на расстояние до 30 км</t>
  </si>
  <si>
    <t>1 т груза</t>
  </si>
  <si>
    <t>Перевозка грузов I класса автомобилями-самосвалами грузоподъемностью 10 т работающих вне карьера на расстояние до 180 км</t>
  </si>
  <si>
    <t>Шнеки ХХХХХ</t>
  </si>
  <si>
    <t>в уровне цен на 01.01.2000</t>
  </si>
  <si>
    <t>1 зона</t>
  </si>
  <si>
    <t>Письмо Минстроя России от 27 ноября 2022 г. N 63135-ИФ/09 "Об индексах изменения сметной стоимости строительства в IV квартале 2022 года"</t>
  </si>
  <si>
    <t>ТЦ_01.4.01.10_ХХ_ХХХХХХХХХХ_ХХ.ХХ.ХХХХ_01</t>
  </si>
  <si>
    <t xml:space="preserve">Автомобили самосвалы </t>
  </si>
  <si>
    <t>в том числе оплата труда машинистов (итого)</t>
  </si>
  <si>
    <t>***</t>
  </si>
  <si>
    <t>Обоснование
(шифр сметной нормы, код ресурса)</t>
  </si>
  <si>
    <t>При этом, по строкам "Затраты труда рабочих", "в том числе оплата труда машинистов" указывается индекс на оплату труда, по строкам с наименованиями машин и механизмов указывается индекс на эксплуатацию машин и механизмов,  по строкам с наименованием материальных ресурсов указывается индекс на материалы, изделия и конструкции, по строкам на дополнительную перевозку грузов указывается индекс на перевозку грузов.</t>
  </si>
  <si>
    <t>Указанный порядок применяется до момента размещения в ФГИС ЦС информации о сметных ценах на эксплуатацию машин и механизмов в разрезе субъекта РФ, в котором осуществляется строительство в текущем уровне цен, или об индексах изменения сметной стоимости строительства по группам однородных строительных ресурсов.</t>
  </si>
  <si>
    <t>Сметная цена на единицу измерения в базисном уровне цен по состоянию на 01.01.2000,
руб./ ед.изм.</t>
  </si>
  <si>
    <t>Материальные ресурсы
(с учетом дополнительной перевозки)</t>
  </si>
  <si>
    <t xml:space="preserve">   оплата труда машинистов</t>
  </si>
  <si>
    <t>Стоимость всего, руб.</t>
  </si>
  <si>
    <t>в базисном уровне цен для базисного района Московская область по состоянию на 01.01.2000, руб.</t>
  </si>
  <si>
    <t>IV кв. 2022г.</t>
  </si>
  <si>
    <t>сметные цены на затраты труда рабочих, машинистов (только для машин, отсутствующих в ФСЭМ, по строкам 'в том числе оплата труда машинистов'), пусконаладочного персонала по данным ФГИС ЦС;</t>
  </si>
  <si>
    <t>сметная цена материальных ресурсов, определенная по результатам конъюнкторного анализа в текущем уровне цен.</t>
  </si>
  <si>
    <t>Оплата труда (затраты труда рабочих) (ср 3.9)</t>
  </si>
  <si>
    <r>
      <t xml:space="preserve">Эксплуатация машин и механизмов,
</t>
    </r>
    <r>
      <rPr>
        <b/>
        <i/>
        <sz val="12"/>
        <color rgb="FF000000"/>
        <rFont val="Times New Roman"/>
        <family val="1"/>
        <charset val="204"/>
      </rPr>
      <t>в том числе:</t>
    </r>
  </si>
  <si>
    <t>IV кв. 2022 г.     (01.01.2000)</t>
  </si>
  <si>
    <t>СР № 02-01-01-01
Калькуляция стоимости отдельных видов работ, 
отсутствующих в ФЕР, ФЕРр, ФЕРм, ФЕРмр и ФЕРп, с использованием сметных норм федеральной сметно-нормативной базы ФСНБ-2022, сведения о которых включены в ФРСН</t>
  </si>
  <si>
    <t>В графе 10 в строках с наименованиями машин, отсутствующими в ФСЭМ, указывается прогнозный индекс-дефлятор и инфляции по строке 'Продукция машиностроения (26, 27, 28, 29, 30, 33)', публикуемый Министерством экономического развития Российской Федерации в составе прогноза индексов дефляторов и индексов цен производителей по видам экономической деятельности (по полному кругу предприятий без НДС, косвенных налогов, торгово-транспортной наценки) (по строке индекс цен производителей (ИЦП)), рассчитываемый поквартально путем извлечения корня четвертой степени из величины годового показателя инфляции на соответствующий год, при этом величина индекса-дефлятора определяется от 01.01.2022 до первого дня квартала, в уровне цен которого выполняется определение сметной стоимости строительства.</t>
  </si>
  <si>
    <t>ведомость объемов работ № ВОР 02-01-01, калькуляция стоимости СР № 02-01-01-01</t>
  </si>
  <si>
    <t>В графе 1 указывается обоснование (шифр сметной нормы, код ресурса).</t>
  </si>
  <si>
    <t>В графах 2, 3 и 4 согласно данным сметной нормы указываются соответственно наименование работ и затрат; измеритель / единица измерения; количество на измеритель.</t>
  </si>
  <si>
    <t>В графе 5 указываются данные для материальных ресурсов, машин и механизмов, включенных в ФССЦ, ФСЭМ, ФССЦпг федеральной сметно-нормативной базы ФСНБ-2020.</t>
  </si>
  <si>
    <t>В графе 6 указывается сметная цена на эксплуатацию машин и механизмов за единицу измерения в базисном уровне цен по состоянию на 01.01.2022 (без учета оплаты труда машинистов), приведенная в ФСНБ-2022, размещенной в ФГИС ЦС.</t>
  </si>
  <si>
    <t>В графах 7 и 8 указываются соответственно средний разряд машиниста и количество машинистов (трудозатраты машинистов чел.-ч. на 1 маш.ч.) по данным ФСНБ-2022, размещенной в ФГИС ЦС.</t>
  </si>
  <si>
    <t>В графе 9 указываются:</t>
  </si>
  <si>
    <t>В графе 11 указывается индекс изменения сметной стоимости на эксплуатацию машин и механизмов для Московской области по строкам с наименованиями машин и механизмов, отсутствующих в ФСЭМ.</t>
  </si>
  <si>
    <t>В графе 12 указываются индексы изменения сметной стоимости для субъекта Российской Федерации, в котором осуществляется строительство.</t>
  </si>
  <si>
    <t>В графе 13:
затраты на оплату труда рабочих определяются по строке 'Затраты труда рабочих' как произведение граф 4 и 9;
затраты на эксплуатацию машин и механизмов, включенных в ФСЭМ, а также по строкам 'в том числе оплата труда машинистов' для таких машин определяются как произведение граф 4, 5 и 12;</t>
  </si>
  <si>
    <t>затраты на эксплуатацию машин и механизмов, отсутствующих в ФСЭМ, определяются произведенияем граф 14 и 12***;
затраты по строкам 'в том числе оплата труда машинистов' для машин и механизмов, отсутствующих в ФСЭМ, определяются как произведение граф 4, 8 и 9;</t>
  </si>
  <si>
    <t>затраты на материальные ресурсы, включенные в ФССЦ, определяются как произведение граф 4, 5 и 12;
затраты на материальные ресурсы, отсутствующие в ФССЦ, определяются как произведение граф 4 и 9;</t>
  </si>
  <si>
    <t>затраты на дополнительную перевозку грузов определяются как произведение граф 4, 5 и 12;
значение по строке 'Итого стоимость машин и механизмов' определяется суммированием значений графы 13, указанных в строках с наименованиями машин и механизмов;</t>
  </si>
  <si>
    <t>значение по строке 'в том числе оплата труда машинистов (итого)' определяется суммированием значений графы 13, указанных в строках 'в том числе оплата труда машинистов';
значение по строке 'Итого стоимость материалов, изделий, конструкций' определяется суммированием значений графы 13, указанных в строках с наименованиями материальных ресурсов, а также в строках перевозки грузов;</t>
  </si>
  <si>
    <t>значение по строке с наименованием работ по сметной норме определяется как сумма значений указанных в графе 13 по строкам 'Оплата труда (затраты труда рабочих)', 'Итого стоимость машин и механизмов' и  'Итого стоимость материалов, изделий, конструкций'.</t>
  </si>
  <si>
    <t>В графе 14 по строкам 'Оплата труда (затраты труда рабочих)', 'в том числе оплата труда машинистов', с наименованиями машин и механизмов, включенных в ФСЭМ, и наименованиями материальных ресурсов указываются значения, определенные как частное граф 13 и 12.</t>
  </si>
  <si>
    <t>В строках с наименованиями машин и механизмов, отсутствующих в ФСЭМ, указываются значения, определенные как произведение графы 4 на сумму отношения произведения граф 6 и 10 к графе 11 и отношения произведения граф 8 и 9 по строке 'в том числе оплата труда машинистов' к значению графы 12***.</t>
  </si>
  <si>
    <t>В строках с затратами на дополнительную перевозку указываются значения, определенные как частное графы 13 по строке на перевозку грузов к графе 12 по строке с наименованием материального ресурса, к которому относятся затраты на такую дополнительную перевозку.</t>
  </si>
  <si>
    <t>Значения графы 14 по строкам 'Итого стоимость машин и механизмов',  'в том числе оплата труда машинистов (итого)', 'Итого стоимость материалов, изделий, конструкций' определяются аналогично порядку, установленному пунктом 10 примечаний для указанных строк графы 13.</t>
  </si>
  <si>
    <t>Формирование выходной формы единичной расценки выполняется с использованием данных, приведенных в графе 14 (строки 'ИТОГО, в том числе:', 'Оплата труда рабочих', 'Эксплуатация машин и механизмов, в том числе:', 'оплата труда машинистов', 'Материальные ресурсы (с учетом дополнительной перевозки)'.</t>
  </si>
  <si>
    <t>При наличии в ФГИС ЦС информации:
о сметных ценах на эксплуатацию машин и механизмов в разрезе субъекта РФ, в котором осуществляется строительство в текущем уровне цен, такая сметная цена указывается в графе 9 с наименованием машины или механизма, отутствующих в ФСЭМ, при этом графы 6 и 10 не заполняются, а значение в графе 13 рассчитывается как произведение графы 4 на сумму графы 9 и произведения граф 8 и 9 по строке 'в том числе оплата труда машинистов'. Значения в графе 14 определяются как частное граф 13 и 12;</t>
  </si>
  <si>
    <t>об индексах изменения сметной стоимости строительства по группам однородных строительных ресурсов в графе 10 вместо дефлятора указывается такой индекс, а затраты на эксплуатацию машин и механизмов, отсутствующих в ФСЭМ, в графе 13 определяются суммированием произведения граф 4, 8 и 9 по строке 'в том числе оплата труда машинистов' и произведения граф 4, 6, 10.</t>
  </si>
  <si>
    <t>ТЦ_02.3.01.02_ХХ_ХХХХХХХХХХ_ХХ.ХХ.ХХХХ_01</t>
  </si>
  <si>
    <t>ТЦ_20.5.05.01_ХХ_ХХХХХХХХХХ_ХХ.ХХ.ХХХХ_01</t>
  </si>
  <si>
    <t>ТЦ_20.5.05.02_ХХ_ХХХХХХХХХХ_ХХ.ХХ.ХХХХ_01</t>
  </si>
  <si>
    <t>ТЦ_20.5.05.03_ХХ_ХХХХХХХХХХ_ХХ.ХХ.ХХХХ_01</t>
  </si>
  <si>
    <r>
      <rPr>
        <b/>
        <sz val="14"/>
        <color theme="1"/>
        <rFont val="Times New Roman"/>
        <family val="1"/>
        <charset val="204"/>
      </rPr>
      <t>Пример калькулирования стоимости единичной расценки с использованием сметной нормы, сведения о которой включены в ФРСН, разработанной для применения ресурсно-индексным и ресурсным методами</t>
    </r>
    <r>
      <rPr>
        <sz val="14"/>
        <color theme="1"/>
        <rFont val="Times New Roman"/>
        <family val="1"/>
        <charset val="204"/>
      </rPr>
      <t xml:space="preserve">
(в соответствии с положениями подпункта "б" пункта 10 Методики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 утвержденной приказом Минстроя России от 04.08.2020 № 421/пр)
</t>
    </r>
    <r>
      <rPr>
        <b/>
        <sz val="14"/>
        <color theme="1"/>
        <rFont val="Times New Roman"/>
        <family val="1"/>
        <charset val="204"/>
      </rPr>
      <t>(цифры, принятые в примере калькуляции, условные)</t>
    </r>
  </si>
  <si>
    <t>01.4.01.03-0153</t>
  </si>
  <si>
    <t>Долото шнековое, диаметр 250 мм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</si>
</sst>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0"/>
    <numFmt numFmtId="166" formatCode="#,##0.0"/>
    <numFmt numFmtId="167" formatCode="0.0000000"/>
  </numFmts>
  <fonts count="26" x14ac:knownFonts="1">
    <font>
      <sz val="11"/>
      <color theme="1"/>
      <name val="Calibri"/>
      <family val="2"/>
      <scheme val="minor"/>
    </font>
    <font>
      <sz val="12"/>
      <color theme="1"/>
      <name val="Times New Roman"/>
      <family val="1"/>
      <charset val="204"/>
    </font>
    <font>
      <b/>
      <sz val="12"/>
      <color theme="1"/>
      <name val="Times New Roman"/>
      <family val="1"/>
      <charset val="204"/>
    </font>
    <font>
      <i/>
      <sz val="12"/>
      <color theme="1"/>
      <name val="Times New Roman"/>
      <family val="1"/>
      <charset val="204"/>
    </font>
    <font>
      <sz val="9"/>
      <name val="Arial Cyr"/>
      <charset val="204"/>
    </font>
    <font>
      <sz val="11"/>
      <name val="Arial Narrow"/>
      <family val="2"/>
      <charset val="204"/>
    </font>
    <font>
      <b/>
      <sz val="12"/>
      <name val="Arial Narrow"/>
      <family val="2"/>
      <charset val="204"/>
    </font>
    <font>
      <i/>
      <sz val="11"/>
      <name val="Arial Narrow"/>
      <family val="2"/>
      <charset val="204"/>
    </font>
    <font>
      <sz val="12"/>
      <name val="Arial Narrow"/>
      <family val="2"/>
      <charset val="204"/>
    </font>
    <font>
      <i/>
      <sz val="12"/>
      <name val="Arial Narrow"/>
      <family val="2"/>
      <charset val="204"/>
    </font>
    <font>
      <u/>
      <sz val="12"/>
      <name val="Arial Narrow"/>
      <family val="2"/>
      <charset val="204"/>
    </font>
    <font>
      <i/>
      <sz val="9"/>
      <name val="Arial Cyr"/>
      <charset val="204"/>
    </font>
    <font>
      <b/>
      <sz val="9"/>
      <name val="Arial Cyr"/>
      <charset val="204"/>
    </font>
    <font>
      <i/>
      <sz val="10"/>
      <name val="Arial Narrow"/>
      <family val="2"/>
      <charset val="204"/>
    </font>
    <font>
      <b/>
      <i/>
      <sz val="12"/>
      <name val="Arial Narrow"/>
      <family val="2"/>
      <charset val="204"/>
    </font>
    <font>
      <sz val="12"/>
      <name val="Times New Roman"/>
      <family val="1"/>
      <charset val="204"/>
    </font>
    <font>
      <b/>
      <i/>
      <sz val="12"/>
      <name val="Times New Roman"/>
      <family val="1"/>
      <charset val="204"/>
    </font>
    <font>
      <sz val="14"/>
      <color theme="1"/>
      <name val="Times New Roman"/>
      <family val="1"/>
      <charset val="204"/>
    </font>
    <font>
      <b/>
      <sz val="14"/>
      <color theme="1"/>
      <name val="Times New Roman"/>
      <family val="1"/>
      <charset val="204"/>
    </font>
    <font>
      <b/>
      <sz val="12"/>
      <color rgb="FF000000"/>
      <name val="Times New Roman"/>
      <family val="1"/>
      <charset val="204"/>
    </font>
    <font>
      <b/>
      <sz val="12"/>
      <color rgb="FFFF0000"/>
      <name val="Times New Roman"/>
      <family val="1"/>
      <charset val="204"/>
    </font>
    <font>
      <i/>
      <sz val="12"/>
      <color rgb="FF000000"/>
      <name val="Times New Roman"/>
      <family val="1"/>
      <charset val="204"/>
    </font>
    <font>
      <sz val="12"/>
      <color rgb="FF000000"/>
      <name val="Times New Roman"/>
      <family val="1"/>
      <charset val="204"/>
    </font>
    <font>
      <sz val="12"/>
      <color rgb="FFFF0000"/>
      <name val="Times New Roman"/>
      <family val="1"/>
      <charset val="204"/>
    </font>
    <font>
      <b/>
      <i/>
      <sz val="12"/>
      <color rgb="FF000000"/>
      <name val="Times New Roman"/>
      <family val="1"/>
      <charset val="204"/>
    </font>
    <font>
      <b/>
      <sz val="14"/>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4" fillId="0" borderId="0"/>
  </cellStyleXfs>
  <cellXfs count="264">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4" fontId="1" fillId="0" borderId="1" xfId="0" applyNumberFormat="1" applyFont="1" applyBorder="1" applyAlignment="1">
      <alignment horizontal="center" vertical="center" wrapText="1"/>
    </xf>
    <xf numFmtId="4" fontId="1" fillId="0" borderId="0" xfId="0" applyNumberFormat="1" applyFont="1" applyAlignment="1">
      <alignment horizontal="center" vertical="center" wrapText="1"/>
    </xf>
    <xf numFmtId="4" fontId="1" fillId="0" borderId="5" xfId="0" applyNumberFormat="1" applyFont="1" applyBorder="1" applyAlignment="1">
      <alignment horizontal="center" vertical="center" wrapText="1"/>
    </xf>
    <xf numFmtId="0" fontId="1" fillId="0" borderId="0" xfId="0" applyFont="1" applyAlignment="1">
      <alignment horizontal="left" vertical="center" wrapText="1"/>
    </xf>
    <xf numFmtId="166" fontId="1" fillId="0" borderId="0" xfId="0" applyNumberFormat="1" applyFont="1" applyAlignment="1">
      <alignment horizontal="center" vertical="center" wrapText="1"/>
    </xf>
    <xf numFmtId="166" fontId="1" fillId="0" borderId="1" xfId="0" applyNumberFormat="1" applyFont="1" applyBorder="1" applyAlignment="1">
      <alignment horizontal="center" vertical="center" wrapText="1"/>
    </xf>
    <xf numFmtId="166" fontId="1" fillId="0" borderId="0" xfId="0" applyNumberFormat="1" applyFont="1" applyAlignment="1">
      <alignment vertical="center" wrapText="1"/>
    </xf>
    <xf numFmtId="0" fontId="5" fillId="0" borderId="3" xfId="1" applyNumberFormat="1" applyFont="1" applyFill="1" applyBorder="1" applyAlignment="1">
      <alignment horizontal="center" vertical="top" wrapText="1"/>
    </xf>
    <xf numFmtId="4" fontId="5" fillId="0" borderId="3" xfId="1" applyNumberFormat="1" applyFont="1" applyFill="1" applyBorder="1" applyAlignment="1">
      <alignment horizontal="center" vertical="top" wrapText="1"/>
    </xf>
    <xf numFmtId="0" fontId="8" fillId="0" borderId="0" xfId="1" applyNumberFormat="1" applyFont="1" applyFill="1" applyBorder="1" applyAlignment="1">
      <alignment vertical="top"/>
    </xf>
    <xf numFmtId="4" fontId="8" fillId="0" borderId="0" xfId="1" applyNumberFormat="1" applyFont="1" applyFill="1" applyBorder="1" applyAlignment="1">
      <alignment vertical="top"/>
    </xf>
    <xf numFmtId="0" fontId="9" fillId="0" borderId="0" xfId="1" applyNumberFormat="1" applyFont="1" applyFill="1" applyBorder="1" applyAlignment="1">
      <alignment horizontal="center" vertical="top" wrapText="1"/>
    </xf>
    <xf numFmtId="0" fontId="8" fillId="0" borderId="2" xfId="1" applyNumberFormat="1" applyFont="1" applyFill="1" applyBorder="1" applyAlignment="1">
      <alignment horizontal="center" vertical="top" wrapText="1"/>
    </xf>
    <xf numFmtId="0" fontId="10" fillId="0" borderId="0" xfId="1" applyNumberFormat="1" applyFont="1" applyFill="1" applyAlignment="1">
      <alignment vertical="top" wrapText="1"/>
    </xf>
    <xf numFmtId="0" fontId="10" fillId="0" borderId="0" xfId="1" applyNumberFormat="1" applyFont="1" applyFill="1" applyAlignment="1">
      <alignment vertical="top"/>
    </xf>
    <xf numFmtId="0" fontId="8" fillId="0" borderId="3" xfId="1" applyNumberFormat="1" applyFont="1" applyFill="1" applyBorder="1" applyAlignment="1">
      <alignment horizontal="center" vertical="top" wrapText="1"/>
    </xf>
    <xf numFmtId="0" fontId="8" fillId="0" borderId="3" xfId="1" applyNumberFormat="1" applyFont="1" applyFill="1" applyBorder="1" applyAlignment="1">
      <alignment horizontal="center" vertical="top"/>
    </xf>
    <xf numFmtId="49" fontId="8" fillId="0" borderId="0" xfId="1" applyNumberFormat="1" applyFont="1" applyFill="1" applyBorder="1" applyAlignment="1">
      <alignment vertical="top"/>
    </xf>
    <xf numFmtId="49" fontId="6" fillId="0" borderId="0" xfId="1" applyNumberFormat="1" applyFont="1" applyFill="1" applyAlignment="1">
      <alignment vertical="top" wrapText="1"/>
    </xf>
    <xf numFmtId="49" fontId="8" fillId="0" borderId="0" xfId="1" applyNumberFormat="1" applyFont="1" applyFill="1" applyAlignment="1">
      <alignment horizontal="left" vertical="top" wrapText="1"/>
    </xf>
    <xf numFmtId="49" fontId="8" fillId="0" borderId="3" xfId="1" applyNumberFormat="1" applyFont="1" applyFill="1" applyBorder="1" applyAlignment="1">
      <alignment horizontal="center" vertical="top"/>
    </xf>
    <xf numFmtId="49" fontId="6" fillId="0" borderId="0" xfId="1" applyNumberFormat="1" applyFont="1" applyFill="1" applyAlignment="1"/>
    <xf numFmtId="0" fontId="8" fillId="0" borderId="0" xfId="1" applyNumberFormat="1" applyFont="1" applyFill="1" applyAlignment="1">
      <alignment wrapText="1"/>
    </xf>
    <xf numFmtId="49" fontId="8" fillId="0" borderId="0" xfId="1" applyNumberFormat="1" applyFont="1" applyFill="1" applyAlignment="1"/>
    <xf numFmtId="0" fontId="9" fillId="0" borderId="0" xfId="1" applyNumberFormat="1" applyFont="1" applyFill="1" applyAlignment="1">
      <alignment wrapText="1"/>
    </xf>
    <xf numFmtId="0" fontId="6" fillId="0" borderId="0" xfId="1" applyNumberFormat="1" applyFont="1" applyFill="1" applyAlignment="1">
      <alignment wrapText="1"/>
    </xf>
    <xf numFmtId="0" fontId="8" fillId="0" borderId="0" xfId="1" applyNumberFormat="1" applyFont="1" applyFill="1" applyAlignment="1"/>
    <xf numFmtId="3" fontId="8" fillId="0" borderId="0" xfId="1" applyNumberFormat="1" applyFont="1" applyFill="1" applyBorder="1" applyAlignment="1">
      <alignment vertical="top" wrapText="1"/>
    </xf>
    <xf numFmtId="3" fontId="6" fillId="0" borderId="0" xfId="1" applyNumberFormat="1" applyFont="1" applyFill="1" applyAlignment="1">
      <alignment vertical="top" wrapText="1"/>
    </xf>
    <xf numFmtId="3" fontId="8" fillId="0" borderId="0" xfId="1" applyNumberFormat="1" applyFont="1" applyFill="1" applyAlignment="1"/>
    <xf numFmtId="3" fontId="8" fillId="0" borderId="1" xfId="1" applyNumberFormat="1" applyFont="1" applyFill="1" applyBorder="1" applyAlignment="1">
      <alignment horizontal="center" vertical="top"/>
    </xf>
    <xf numFmtId="0" fontId="6" fillId="0" borderId="0" xfId="1" applyNumberFormat="1" applyFont="1" applyFill="1" applyAlignment="1"/>
    <xf numFmtId="0" fontId="10" fillId="0" borderId="0" xfId="1" applyNumberFormat="1" applyFont="1" applyFill="1" applyAlignment="1">
      <alignment horizontal="right" wrapText="1"/>
    </xf>
    <xf numFmtId="0" fontId="10" fillId="0" borderId="0" xfId="1" applyNumberFormat="1" applyFont="1" applyFill="1" applyAlignment="1">
      <alignment horizontal="right"/>
    </xf>
    <xf numFmtId="4" fontId="5" fillId="0" borderId="0" xfId="1" applyNumberFormat="1" applyFont="1" applyFill="1" applyAlignment="1">
      <alignment vertical="top"/>
    </xf>
    <xf numFmtId="0" fontId="13" fillId="0" borderId="0" xfId="1" applyNumberFormat="1" applyFont="1" applyFill="1" applyAlignment="1">
      <alignment horizontal="right" vertical="top"/>
    </xf>
    <xf numFmtId="3" fontId="13" fillId="0" borderId="0" xfId="1" applyNumberFormat="1" applyFont="1" applyFill="1" applyAlignment="1">
      <alignment horizontal="left" vertical="top" wrapText="1"/>
    </xf>
    <xf numFmtId="3" fontId="8" fillId="0" borderId="0" xfId="1" applyNumberFormat="1" applyFont="1" applyFill="1" applyAlignment="1">
      <alignment vertical="top"/>
    </xf>
    <xf numFmtId="0" fontId="8" fillId="0" borderId="0" xfId="1" applyNumberFormat="1" applyFont="1" applyFill="1" applyBorder="1"/>
    <xf numFmtId="0" fontId="8" fillId="0" borderId="0" xfId="1" applyNumberFormat="1" applyFont="1" applyFill="1" applyBorder="1" applyAlignment="1">
      <alignment horizontal="center" vertical="top" wrapText="1"/>
    </xf>
    <xf numFmtId="0" fontId="8" fillId="0" borderId="0" xfId="1" applyNumberFormat="1" applyFont="1" applyFill="1" applyAlignment="1">
      <alignment horizontal="centerContinuous" vertical="top"/>
    </xf>
    <xf numFmtId="49" fontId="8" fillId="0" borderId="0" xfId="1" applyNumberFormat="1" applyFont="1" applyFill="1" applyAlignment="1">
      <alignment horizontal="centerContinuous" vertical="top"/>
    </xf>
    <xf numFmtId="0" fontId="8" fillId="0" borderId="8" xfId="1" applyNumberFormat="1" applyFont="1" applyFill="1" applyBorder="1" applyAlignment="1">
      <alignment vertical="top" wrapText="1"/>
    </xf>
    <xf numFmtId="0" fontId="8" fillId="0" borderId="8" xfId="1" applyNumberFormat="1" applyFont="1" applyFill="1" applyBorder="1" applyAlignment="1">
      <alignment vertical="top"/>
    </xf>
    <xf numFmtId="4" fontId="8" fillId="0" borderId="8" xfId="1" applyNumberFormat="1" applyFont="1" applyFill="1" applyBorder="1" applyAlignment="1">
      <alignment horizontal="right" vertical="top"/>
    </xf>
    <xf numFmtId="49" fontId="8" fillId="0" borderId="8" xfId="1" applyNumberFormat="1" applyFont="1" applyFill="1" applyBorder="1" applyAlignment="1">
      <alignment vertical="top"/>
    </xf>
    <xf numFmtId="0" fontId="6" fillId="0" borderId="8" xfId="1" applyNumberFormat="1" applyFont="1" applyFill="1" applyBorder="1" applyAlignment="1">
      <alignment vertical="top" wrapText="1"/>
    </xf>
    <xf numFmtId="4" fontId="8" fillId="0" borderId="8" xfId="1" applyNumberFormat="1" applyFont="1" applyFill="1" applyBorder="1" applyAlignment="1">
      <alignment vertical="top"/>
    </xf>
    <xf numFmtId="4" fontId="6" fillId="0" borderId="8" xfId="1" applyNumberFormat="1" applyFont="1" applyFill="1" applyBorder="1" applyAlignment="1">
      <alignment horizontal="right" vertical="top"/>
    </xf>
    <xf numFmtId="4" fontId="8" fillId="0" borderId="0" xfId="1" applyNumberFormat="1" applyFont="1" applyFill="1"/>
    <xf numFmtId="0" fontId="6" fillId="0" borderId="0" xfId="1" applyNumberFormat="1" applyFont="1" applyFill="1" applyAlignment="1">
      <alignment vertical="top"/>
    </xf>
    <xf numFmtId="0" fontId="9" fillId="0" borderId="0" xfId="1" applyNumberFormat="1" applyFont="1" applyFill="1" applyAlignment="1">
      <alignment vertical="top"/>
    </xf>
    <xf numFmtId="0" fontId="8" fillId="0" borderId="0" xfId="1" applyNumberFormat="1" applyFont="1" applyFill="1" applyAlignment="1">
      <alignment vertical="top"/>
    </xf>
    <xf numFmtId="4" fontId="8" fillId="0" borderId="0" xfId="1" applyNumberFormat="1" applyFont="1" applyFill="1" applyAlignment="1">
      <alignment vertical="top"/>
    </xf>
    <xf numFmtId="0" fontId="8" fillId="0" borderId="0" xfId="1" applyNumberFormat="1" applyFont="1" applyFill="1" applyAlignment="1">
      <alignment horizontal="right" vertical="top"/>
    </xf>
    <xf numFmtId="4" fontId="8" fillId="0" borderId="0" xfId="1" applyNumberFormat="1" applyFont="1" applyFill="1" applyAlignment="1">
      <alignment horizontal="right" vertical="top"/>
    </xf>
    <xf numFmtId="4" fontId="6" fillId="0" borderId="0" xfId="1" applyNumberFormat="1" applyFont="1" applyFill="1" applyAlignment="1">
      <alignment horizontal="right" vertical="top"/>
    </xf>
    <xf numFmtId="0" fontId="8" fillId="0" borderId="0" xfId="1" applyNumberFormat="1" applyFont="1" applyFill="1"/>
    <xf numFmtId="49" fontId="8" fillId="0" borderId="0" xfId="1" applyNumberFormat="1" applyFont="1" applyFill="1" applyAlignment="1">
      <alignment vertical="top"/>
    </xf>
    <xf numFmtId="3" fontId="8" fillId="0" borderId="0" xfId="1" applyNumberFormat="1" applyFont="1" applyFill="1" applyAlignment="1">
      <alignment horizontal="right" vertical="top"/>
    </xf>
    <xf numFmtId="0" fontId="4" fillId="0" borderId="0" xfId="1" applyFont="1" applyFill="1"/>
    <xf numFmtId="0" fontId="8" fillId="0" borderId="9" xfId="1" applyNumberFormat="1" applyFont="1" applyFill="1" applyBorder="1"/>
    <xf numFmtId="0" fontId="14" fillId="0" borderId="9" xfId="1" applyNumberFormat="1" applyFont="1" applyFill="1" applyBorder="1" applyAlignment="1">
      <alignment vertical="top" wrapText="1"/>
    </xf>
    <xf numFmtId="4" fontId="8" fillId="0" borderId="9" xfId="1" applyNumberFormat="1" applyFont="1" applyFill="1" applyBorder="1" applyAlignment="1">
      <alignment vertical="top"/>
    </xf>
    <xf numFmtId="0" fontId="8" fillId="0" borderId="9" xfId="1" applyNumberFormat="1" applyFont="1" applyFill="1" applyBorder="1" applyAlignment="1">
      <alignment vertical="top"/>
    </xf>
    <xf numFmtId="4" fontId="8" fillId="0" borderId="9" xfId="1" applyNumberFormat="1" applyFont="1" applyFill="1" applyBorder="1" applyAlignment="1">
      <alignment horizontal="right" vertical="top"/>
    </xf>
    <xf numFmtId="3" fontId="8" fillId="0" borderId="9" xfId="1" applyNumberFormat="1" applyFont="1" applyFill="1" applyBorder="1" applyAlignment="1">
      <alignment horizontal="right" vertical="top"/>
    </xf>
    <xf numFmtId="0" fontId="14" fillId="0" borderId="0" xfId="1" applyNumberFormat="1" applyFont="1" applyFill="1" applyBorder="1" applyAlignment="1">
      <alignment vertical="top" wrapText="1"/>
    </xf>
    <xf numFmtId="4" fontId="8" fillId="0" borderId="0" xfId="1" applyNumberFormat="1" applyFont="1" applyFill="1" applyBorder="1" applyAlignment="1">
      <alignment horizontal="right" vertical="top"/>
    </xf>
    <xf numFmtId="3" fontId="8" fillId="0" borderId="0" xfId="1" applyNumberFormat="1" applyFont="1" applyFill="1" applyBorder="1" applyAlignment="1">
      <alignment horizontal="right" vertical="top"/>
    </xf>
    <xf numFmtId="0" fontId="8" fillId="0" borderId="0" xfId="1" applyNumberFormat="1" applyFont="1" applyFill="1" applyAlignment="1">
      <alignment horizontal="right" vertical="top" wrapText="1"/>
    </xf>
    <xf numFmtId="4" fontId="10" fillId="0" borderId="0" xfId="1" applyNumberFormat="1" applyFont="1" applyFill="1" applyAlignment="1">
      <alignment horizontal="right"/>
    </xf>
    <xf numFmtId="4" fontId="10" fillId="0" borderId="0" xfId="1" applyNumberFormat="1" applyFont="1" applyFill="1" applyAlignment="1">
      <alignment vertical="top"/>
    </xf>
    <xf numFmtId="4" fontId="10" fillId="0" borderId="0" xfId="1" applyNumberFormat="1" applyFont="1" applyFill="1" applyAlignment="1"/>
    <xf numFmtId="0" fontId="8" fillId="0" borderId="0" xfId="1" applyNumberFormat="1" applyFont="1" applyFill="1" applyBorder="1" applyAlignment="1">
      <alignment wrapText="1"/>
    </xf>
    <xf numFmtId="0" fontId="4" fillId="0" borderId="9" xfId="1" applyFont="1" applyFill="1" applyBorder="1" applyAlignment="1">
      <alignment vertical="top"/>
    </xf>
    <xf numFmtId="0" fontId="4" fillId="0" borderId="0" xfId="1" applyFont="1" applyFill="1" applyBorder="1" applyAlignment="1">
      <alignment vertical="top"/>
    </xf>
    <xf numFmtId="4" fontId="4" fillId="0" borderId="0" xfId="1" applyNumberFormat="1" applyFont="1" applyFill="1"/>
    <xf numFmtId="167" fontId="8" fillId="0" borderId="0" xfId="1" applyNumberFormat="1" applyFont="1" applyFill="1" applyAlignment="1">
      <alignment horizontal="left" vertical="top" wrapText="1"/>
    </xf>
    <xf numFmtId="167" fontId="8" fillId="0" borderId="0" xfId="1" applyNumberFormat="1" applyFont="1" applyFill="1" applyBorder="1" applyAlignment="1">
      <alignment vertical="top"/>
    </xf>
    <xf numFmtId="167" fontId="9" fillId="0" borderId="0" xfId="1" applyNumberFormat="1" applyFont="1" applyFill="1" applyBorder="1" applyAlignment="1">
      <alignment horizontal="center" vertical="top" wrapText="1"/>
    </xf>
    <xf numFmtId="167" fontId="8" fillId="0" borderId="0" xfId="1" applyNumberFormat="1" applyFont="1" applyFill="1" applyAlignment="1">
      <alignment vertical="top"/>
    </xf>
    <xf numFmtId="167" fontId="8" fillId="0" borderId="0" xfId="1" applyNumberFormat="1" applyFont="1" applyFill="1" applyAlignment="1"/>
    <xf numFmtId="167" fontId="8" fillId="0" borderId="0" xfId="1" applyNumberFormat="1" applyFont="1" applyFill="1"/>
    <xf numFmtId="167" fontId="5" fillId="0" borderId="3" xfId="1" applyNumberFormat="1" applyFont="1" applyFill="1" applyBorder="1" applyAlignment="1">
      <alignment horizontal="center" vertical="top" wrapText="1"/>
    </xf>
    <xf numFmtId="167" fontId="8" fillId="0" borderId="8" xfId="1" applyNumberFormat="1" applyFont="1" applyFill="1" applyBorder="1" applyAlignment="1">
      <alignment vertical="top"/>
    </xf>
    <xf numFmtId="167" fontId="4" fillId="0" borderId="0" xfId="1" applyNumberFormat="1" applyFont="1" applyFill="1" applyAlignment="1">
      <alignment vertical="top"/>
    </xf>
    <xf numFmtId="167" fontId="4" fillId="0" borderId="9" xfId="1" applyNumberFormat="1" applyFont="1" applyFill="1" applyBorder="1" applyAlignment="1">
      <alignment vertical="top"/>
    </xf>
    <xf numFmtId="167" fontId="4" fillId="0" borderId="0" xfId="1" applyNumberFormat="1" applyFont="1" applyFill="1" applyBorder="1" applyAlignment="1">
      <alignment vertical="top"/>
    </xf>
    <xf numFmtId="2" fontId="8" fillId="0" borderId="0" xfId="1" applyNumberFormat="1" applyFont="1" applyFill="1" applyAlignment="1">
      <alignment horizontal="right" vertical="top"/>
    </xf>
    <xf numFmtId="1" fontId="8" fillId="0" borderId="0" xfId="1" applyNumberFormat="1" applyFont="1" applyFill="1" applyAlignment="1">
      <alignment horizontal="right" vertical="top"/>
    </xf>
    <xf numFmtId="0" fontId="9" fillId="0" borderId="0" xfId="1" applyNumberFormat="1" applyFont="1" applyFill="1" applyAlignment="1">
      <alignment vertical="top" wrapText="1"/>
    </xf>
    <xf numFmtId="0" fontId="8" fillId="0" borderId="0" xfId="1" applyNumberFormat="1" applyFont="1" applyFill="1" applyAlignment="1">
      <alignment horizontal="left" vertical="top" wrapText="1"/>
    </xf>
    <xf numFmtId="0" fontId="8" fillId="0" borderId="0" xfId="1" applyNumberFormat="1" applyFont="1" applyFill="1" applyAlignment="1">
      <alignment vertical="top" wrapText="1"/>
    </xf>
    <xf numFmtId="0" fontId="4" fillId="0" borderId="0" xfId="1" applyFont="1" applyFill="1" applyAlignment="1">
      <alignment vertical="top"/>
    </xf>
    <xf numFmtId="0" fontId="11" fillId="0" borderId="0" xfId="1" applyFont="1" applyFill="1" applyAlignment="1">
      <alignment vertical="top"/>
    </xf>
    <xf numFmtId="0" fontId="8" fillId="0" borderId="0" xfId="1" applyNumberFormat="1" applyFont="1" applyFill="1" applyAlignment="1">
      <alignment horizontal="left" vertical="top"/>
    </xf>
    <xf numFmtId="1" fontId="8" fillId="0" borderId="3" xfId="1" applyNumberFormat="1" applyFont="1" applyFill="1" applyBorder="1" applyAlignment="1">
      <alignment horizontal="center" vertical="top"/>
    </xf>
    <xf numFmtId="167" fontId="11" fillId="0" borderId="0" xfId="1" applyNumberFormat="1" applyFont="1" applyFill="1" applyAlignment="1">
      <alignment vertical="top"/>
    </xf>
    <xf numFmtId="0" fontId="12" fillId="0" borderId="0" xfId="1" applyFont="1" applyFill="1" applyAlignment="1">
      <alignment vertical="top"/>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vertical="center" wrapText="1"/>
    </xf>
    <xf numFmtId="4" fontId="1" fillId="0" borderId="0" xfId="0" applyNumberFormat="1" applyFont="1" applyAlignment="1">
      <alignment vertical="center" wrapText="1"/>
    </xf>
    <xf numFmtId="0" fontId="1" fillId="0" borderId="0" xfId="0" applyFont="1" applyAlignment="1">
      <alignment horizontal="right" vertical="center"/>
    </xf>
    <xf numFmtId="0" fontId="16" fillId="0" borderId="0" xfId="0" applyFont="1" applyAlignment="1">
      <alignment horizontal="center" vertical="center" wrapText="1"/>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4" fontId="20"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2" borderId="1" xfId="0" applyFont="1" applyFill="1" applyBorder="1" applyAlignment="1">
      <alignment vertical="center" wrapText="1"/>
    </xf>
    <xf numFmtId="4" fontId="21"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166" fontId="3" fillId="2"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vertical="center" wrapText="1"/>
    </xf>
    <xf numFmtId="4" fontId="3"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vertical="center" wrapText="1"/>
    </xf>
    <xf numFmtId="4" fontId="22" fillId="0" borderId="1" xfId="0" applyNumberFormat="1" applyFont="1" applyFill="1" applyBorder="1" applyAlignment="1">
      <alignment horizontal="center" vertical="center" wrapText="1"/>
    </xf>
    <xf numFmtId="166" fontId="22" fillId="0"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vertical="center" wrapText="1"/>
    </xf>
    <xf numFmtId="4" fontId="16" fillId="2" borderId="1" xfId="0" applyNumberFormat="1" applyFont="1" applyFill="1" applyBorder="1" applyAlignment="1">
      <alignment horizontal="center" vertical="center" wrapText="1"/>
    </xf>
    <xf numFmtId="166" fontId="16" fillId="2"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4" fontId="22"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167" fontId="12" fillId="0" borderId="0" xfId="1" applyNumberFormat="1" applyFont="1" applyFill="1" applyAlignment="1">
      <alignment vertical="top"/>
    </xf>
    <xf numFmtId="0" fontId="8" fillId="0" borderId="0" xfId="1" applyNumberFormat="1" applyFont="1" applyFill="1" applyBorder="1" applyAlignment="1">
      <alignment horizontal="center" vertical="top"/>
    </xf>
    <xf numFmtId="1" fontId="8" fillId="0" borderId="0" xfId="1" applyNumberFormat="1" applyFont="1" applyFill="1" applyBorder="1" applyAlignment="1">
      <alignment horizontal="center" vertical="top"/>
    </xf>
    <xf numFmtId="3" fontId="8" fillId="0" borderId="0" xfId="1" applyNumberFormat="1" applyFont="1" applyFill="1" applyBorder="1" applyAlignment="1">
      <alignment horizontal="center" vertical="top"/>
    </xf>
    <xf numFmtId="49" fontId="6" fillId="0" borderId="0" xfId="1" applyNumberFormat="1" applyFont="1" applyFill="1" applyBorder="1" applyAlignment="1">
      <alignment horizontal="left" vertical="top"/>
    </xf>
    <xf numFmtId="2" fontId="8" fillId="0" borderId="0" xfId="1" applyNumberFormat="1" applyFont="1" applyFill="1"/>
    <xf numFmtId="165" fontId="22" fillId="0" borderId="1" xfId="0" applyNumberFormat="1" applyFont="1" applyFill="1" applyBorder="1" applyAlignment="1">
      <alignment horizontal="center" vertical="center" wrapText="1"/>
    </xf>
    <xf numFmtId="0" fontId="22" fillId="0" borderId="0" xfId="0" applyFont="1" applyBorder="1" applyAlignment="1">
      <alignment horizontal="center" vertical="center" wrapText="1"/>
    </xf>
    <xf numFmtId="0" fontId="22" fillId="0" borderId="0" xfId="0" applyFont="1" applyFill="1" applyBorder="1" applyAlignment="1">
      <alignment horizontal="left" vertical="center" wrapText="1"/>
    </xf>
    <xf numFmtId="0" fontId="22" fillId="0" borderId="0" xfId="0" applyFont="1" applyBorder="1" applyAlignment="1">
      <alignment vertical="center" wrapText="1"/>
    </xf>
    <xf numFmtId="4" fontId="1" fillId="0" borderId="0" xfId="0" applyNumberFormat="1" applyFont="1" applyBorder="1" applyAlignment="1">
      <alignment horizontal="center" vertical="center" wrapText="1"/>
    </xf>
    <xf numFmtId="166" fontId="1" fillId="0" borderId="0"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19" fillId="0" borderId="1" xfId="0" applyFont="1" applyFill="1" applyBorder="1" applyAlignment="1">
      <alignment horizontal="left" vertical="center" wrapText="1"/>
    </xf>
    <xf numFmtId="4" fontId="22" fillId="4" borderId="1" xfId="0" applyNumberFormat="1" applyFont="1" applyFill="1" applyBorder="1" applyAlignment="1">
      <alignment horizontal="center" vertical="center" wrapText="1"/>
    </xf>
    <xf numFmtId="166" fontId="22" fillId="4" borderId="1" xfId="0" applyNumberFormat="1" applyFont="1" applyFill="1" applyBorder="1" applyAlignment="1">
      <alignment horizontal="center" vertical="center" wrapText="1"/>
    </xf>
    <xf numFmtId="0" fontId="21" fillId="4" borderId="1" xfId="0" applyFont="1" applyFill="1" applyBorder="1" applyAlignment="1">
      <alignment horizontal="left" vertical="center" wrapText="1"/>
    </xf>
    <xf numFmtId="0" fontId="21" fillId="4" borderId="1" xfId="0" applyFont="1" applyFill="1" applyBorder="1" applyAlignment="1">
      <alignment vertical="center" wrapText="1"/>
    </xf>
    <xf numFmtId="0" fontId="21" fillId="4" borderId="1" xfId="0" applyFont="1" applyFill="1" applyBorder="1" applyAlignment="1">
      <alignment horizontal="center" vertical="center" wrapText="1"/>
    </xf>
    <xf numFmtId="4" fontId="21" fillId="4" borderId="1" xfId="0" applyNumberFormat="1" applyFont="1" applyFill="1" applyBorder="1" applyAlignment="1">
      <alignment horizontal="center" vertical="center" wrapText="1"/>
    </xf>
    <xf numFmtId="166" fontId="21" fillId="4" borderId="1" xfId="0" applyNumberFormat="1" applyFont="1" applyFill="1" applyBorder="1" applyAlignment="1">
      <alignment horizontal="center" vertical="center" wrapText="1"/>
    </xf>
    <xf numFmtId="0" fontId="1" fillId="0" borderId="0" xfId="0" applyFont="1" applyFill="1" applyBorder="1" applyAlignment="1">
      <alignment vertical="center" wrapText="1"/>
    </xf>
    <xf numFmtId="4" fontId="1" fillId="0" borderId="0" xfId="0" applyNumberFormat="1" applyFont="1" applyFill="1" applyAlignment="1">
      <alignment horizontal="center" vertical="center" wrapText="1"/>
    </xf>
    <xf numFmtId="4" fontId="1" fillId="0" borderId="0" xfId="0" applyNumberFormat="1" applyFont="1" applyFill="1" applyBorder="1" applyAlignment="1">
      <alignment horizontal="center" vertical="center" wrapText="1"/>
    </xf>
    <xf numFmtId="0" fontId="1" fillId="0" borderId="0" xfId="0" applyFont="1" applyFill="1" applyAlignment="1">
      <alignment vertical="center" wrapText="1"/>
    </xf>
    <xf numFmtId="4" fontId="1" fillId="0" borderId="3" xfId="0" applyNumberFormat="1" applyFont="1" applyBorder="1" applyAlignment="1">
      <alignment horizontal="center" vertical="center" wrapText="1"/>
    </xf>
    <xf numFmtId="0" fontId="15" fillId="0" borderId="23" xfId="1" applyNumberFormat="1" applyFont="1" applyFill="1" applyBorder="1" applyAlignment="1">
      <alignment vertical="center" wrapText="1"/>
    </xf>
    <xf numFmtId="0" fontId="15" fillId="0" borderId="25" xfId="1" applyNumberFormat="1" applyFont="1" applyFill="1" applyBorder="1" applyAlignment="1">
      <alignment vertical="center" wrapText="1"/>
    </xf>
    <xf numFmtId="0" fontId="15" fillId="0" borderId="25" xfId="1" applyNumberFormat="1" applyFont="1" applyFill="1" applyBorder="1" applyAlignment="1">
      <alignment horizontal="center" vertical="center" wrapText="1"/>
    </xf>
    <xf numFmtId="4" fontId="15" fillId="0" borderId="25" xfId="1" applyNumberFormat="1" applyFont="1" applyFill="1" applyBorder="1" applyAlignment="1">
      <alignment horizontal="center" vertical="center"/>
    </xf>
    <xf numFmtId="4" fontId="15" fillId="0" borderId="26" xfId="1" applyNumberFormat="1" applyFont="1" applyBorder="1" applyAlignment="1">
      <alignment horizontal="center" vertical="center"/>
    </xf>
    <xf numFmtId="4" fontId="1" fillId="0" borderId="25" xfId="0" applyNumberFormat="1" applyFont="1" applyBorder="1" applyAlignment="1">
      <alignment horizontal="center" vertical="center"/>
    </xf>
    <xf numFmtId="4" fontId="1" fillId="0" borderId="24" xfId="0" applyNumberFormat="1" applyFont="1" applyBorder="1" applyAlignment="1">
      <alignment horizontal="center" vertical="center"/>
    </xf>
    <xf numFmtId="0" fontId="19"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9" fillId="3" borderId="1" xfId="0" applyFont="1" applyFill="1" applyBorder="1" applyAlignment="1">
      <alignment horizontal="right" vertical="center" wrapText="1"/>
    </xf>
    <xf numFmtId="4" fontId="2" fillId="3" borderId="1" xfId="0" applyNumberFormat="1" applyFont="1" applyFill="1" applyBorder="1" applyAlignment="1">
      <alignment horizontal="center" vertical="center" wrapText="1"/>
    </xf>
    <xf numFmtId="166" fontId="2" fillId="3" borderId="1" xfId="0" applyNumberFormat="1" applyFont="1" applyFill="1" applyBorder="1" applyAlignment="1">
      <alignment horizontal="center" vertical="center" wrapText="1"/>
    </xf>
    <xf numFmtId="4" fontId="1" fillId="2" borderId="0" xfId="0" applyNumberFormat="1" applyFont="1" applyFill="1" applyAlignment="1">
      <alignment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1" fillId="2" borderId="0" xfId="0" applyFont="1" applyFill="1" applyAlignment="1">
      <alignment horizontal="right" vertical="center" wrapText="1"/>
    </xf>
    <xf numFmtId="0" fontId="1" fillId="0" borderId="0" xfId="0" applyFont="1" applyAlignment="1">
      <alignment horizontal="center" vertical="top" wrapText="1"/>
    </xf>
    <xf numFmtId="0" fontId="15" fillId="0" borderId="0" xfId="0" applyFont="1" applyFill="1" applyAlignment="1">
      <alignment vertical="center" wrapText="1"/>
    </xf>
    <xf numFmtId="0" fontId="17" fillId="0" borderId="0" xfId="0" applyFont="1" applyBorder="1" applyAlignment="1">
      <alignment vertical="center" wrapText="1"/>
    </xf>
    <xf numFmtId="0" fontId="24" fillId="0" borderId="1" xfId="0" applyFont="1" applyBorder="1" applyAlignment="1">
      <alignment horizontal="left" vertical="center" wrapText="1"/>
    </xf>
    <xf numFmtId="14" fontId="1" fillId="0" borderId="0" xfId="0" applyNumberFormat="1" applyFont="1" applyBorder="1" applyAlignment="1">
      <alignment vertical="center" wrapText="1"/>
    </xf>
    <xf numFmtId="164" fontId="1" fillId="0" borderId="0" xfId="0" applyNumberFormat="1" applyFont="1" applyBorder="1" applyAlignment="1">
      <alignment horizontal="left" vertical="center"/>
    </xf>
    <xf numFmtId="4" fontId="1" fillId="0" borderId="0" xfId="0" applyNumberFormat="1" applyFont="1" applyBorder="1" applyAlignment="1">
      <alignment horizontal="left" vertical="center"/>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16" fillId="0" borderId="0" xfId="0" applyFont="1" applyFill="1" applyAlignment="1">
      <alignment horizontal="center" vertical="center" wrapText="1"/>
    </xf>
    <xf numFmtId="0" fontId="2" fillId="0" borderId="0" xfId="0" applyFont="1" applyFill="1" applyAlignment="1">
      <alignment horizontal="center" vertical="center" wrapText="1"/>
    </xf>
    <xf numFmtId="4" fontId="15" fillId="0" borderId="1" xfId="0" applyNumberFormat="1"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 fillId="0" borderId="0" xfId="0" applyFont="1" applyFill="1" applyAlignment="1">
      <alignment horizontal="left" vertical="center" wrapText="1"/>
    </xf>
    <xf numFmtId="0" fontId="15" fillId="0" borderId="0" xfId="0" applyFont="1" applyFill="1" applyAlignment="1">
      <alignment horizontal="left" vertical="center" wrapText="1"/>
    </xf>
    <xf numFmtId="0" fontId="23" fillId="0" borderId="0" xfId="0" applyFont="1" applyAlignment="1">
      <alignment horizontal="left" vertical="center" wrapText="1"/>
    </xf>
    <xf numFmtId="4" fontId="1" fillId="0" borderId="1" xfId="0" applyNumberFormat="1" applyFont="1" applyBorder="1" applyAlignment="1">
      <alignment horizontal="center" vertical="center" wrapText="1"/>
    </xf>
    <xf numFmtId="0" fontId="25" fillId="0" borderId="0" xfId="0" applyFont="1" applyBorder="1" applyAlignment="1">
      <alignment horizontal="center" vertical="center" wrapText="1"/>
    </xf>
    <xf numFmtId="0" fontId="1" fillId="2" borderId="0" xfId="0" applyFont="1" applyFill="1" applyAlignment="1">
      <alignment horizontal="left" vertical="center" wrapText="1"/>
    </xf>
    <xf numFmtId="4" fontId="1" fillId="0" borderId="5"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0" borderId="0" xfId="0" applyFont="1" applyAlignment="1">
      <alignment horizontal="left" vertical="center" wrapText="1"/>
    </xf>
    <xf numFmtId="0" fontId="17" fillId="0" borderId="0" xfId="0" applyFont="1" applyBorder="1" applyAlignment="1">
      <alignment horizontal="center" vertical="center" wrapText="1"/>
    </xf>
    <xf numFmtId="4" fontId="1" fillId="0" borderId="5"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0" xfId="1" applyNumberFormat="1" applyFont="1" applyFill="1" applyAlignment="1">
      <alignment horizontal="left" vertical="top" wrapText="1"/>
    </xf>
    <xf numFmtId="0" fontId="8" fillId="0" borderId="2" xfId="1" applyFont="1" applyFill="1" applyBorder="1" applyAlignment="1">
      <alignment horizontal="left" vertical="top" wrapText="1"/>
    </xf>
    <xf numFmtId="4" fontId="8" fillId="0" borderId="2" xfId="1" applyNumberFormat="1" applyFont="1" applyFill="1" applyBorder="1" applyAlignment="1">
      <alignment horizontal="left" vertical="top" wrapText="1"/>
    </xf>
    <xf numFmtId="0" fontId="7" fillId="0" borderId="8" xfId="1" applyNumberFormat="1" applyFont="1" applyFill="1" applyBorder="1" applyAlignment="1">
      <alignment horizontal="center" vertical="top" wrapText="1"/>
    </xf>
    <xf numFmtId="49" fontId="6" fillId="0" borderId="2" xfId="1" applyNumberFormat="1" applyFont="1" applyFill="1" applyBorder="1" applyAlignment="1">
      <alignment horizontal="center" vertical="top" wrapText="1"/>
    </xf>
    <xf numFmtId="0" fontId="7" fillId="0" borderId="0" xfId="1" applyNumberFormat="1" applyFont="1" applyFill="1" applyBorder="1" applyAlignment="1">
      <alignment horizontal="center" vertical="top" wrapText="1"/>
    </xf>
    <xf numFmtId="49" fontId="6" fillId="0" borderId="2" xfId="1" applyNumberFormat="1" applyFont="1" applyFill="1" applyBorder="1" applyAlignment="1">
      <alignment horizontal="center" vertical="top"/>
    </xf>
    <xf numFmtId="0" fontId="6" fillId="0" borderId="0" xfId="1" applyNumberFormat="1" applyFont="1" applyFill="1" applyBorder="1" applyAlignment="1">
      <alignment horizontal="center" wrapText="1"/>
    </xf>
    <xf numFmtId="0" fontId="6" fillId="0" borderId="2" xfId="1" applyNumberFormat="1" applyFont="1" applyFill="1" applyBorder="1" applyAlignment="1">
      <alignment horizontal="center" vertical="top" wrapText="1"/>
    </xf>
    <xf numFmtId="0" fontId="8" fillId="0" borderId="2" xfId="1" applyNumberFormat="1" applyFont="1" applyFill="1" applyBorder="1" applyAlignment="1">
      <alignment horizontal="center" wrapText="1"/>
    </xf>
    <xf numFmtId="0" fontId="8" fillId="0" borderId="0" xfId="1" applyNumberFormat="1" applyFont="1" applyFill="1" applyBorder="1" applyAlignment="1">
      <alignment horizontal="left"/>
    </xf>
    <xf numFmtId="0" fontId="4" fillId="0" borderId="0" xfId="1" applyFont="1" applyFill="1" applyAlignment="1">
      <alignment horizontal="left"/>
    </xf>
    <xf numFmtId="4" fontId="10" fillId="0" borderId="0" xfId="1" applyNumberFormat="1" applyFont="1" applyFill="1" applyBorder="1" applyAlignment="1">
      <alignment horizontal="right"/>
    </xf>
    <xf numFmtId="49" fontId="8" fillId="0" borderId="5" xfId="1" applyNumberFormat="1" applyFont="1" applyFill="1" applyBorder="1" applyAlignment="1">
      <alignment horizontal="center" vertical="center" wrapText="1"/>
    </xf>
    <xf numFmtId="49" fontId="8" fillId="0" borderId="6" xfId="1" applyNumberFormat="1" applyFont="1" applyFill="1" applyBorder="1" applyAlignment="1">
      <alignment horizontal="center" vertical="center" wrapText="1"/>
    </xf>
    <xf numFmtId="0" fontId="8" fillId="0" borderId="5" xfId="1" applyNumberFormat="1" applyFont="1" applyFill="1" applyBorder="1" applyAlignment="1">
      <alignment horizontal="center" vertical="center" wrapText="1"/>
    </xf>
    <xf numFmtId="0" fontId="8" fillId="0" borderId="6" xfId="1" applyNumberFormat="1" applyFont="1" applyFill="1" applyBorder="1" applyAlignment="1">
      <alignment horizontal="center" vertical="center" wrapText="1"/>
    </xf>
    <xf numFmtId="0" fontId="8" fillId="0" borderId="3" xfId="1" applyNumberFormat="1" applyFont="1" applyFill="1" applyBorder="1" applyAlignment="1">
      <alignment horizontal="center" vertical="center" wrapText="1"/>
    </xf>
    <xf numFmtId="0" fontId="8" fillId="0" borderId="7" xfId="1" applyNumberFormat="1" applyFont="1" applyFill="1" applyBorder="1" applyAlignment="1">
      <alignment horizontal="center" vertical="center" wrapText="1"/>
    </xf>
    <xf numFmtId="0" fontId="8" fillId="0" borderId="4" xfId="1" applyNumberFormat="1" applyFont="1" applyFill="1" applyBorder="1" applyAlignment="1">
      <alignment horizontal="center" vertical="center" wrapText="1"/>
    </xf>
    <xf numFmtId="0" fontId="6" fillId="0" borderId="0" xfId="1" applyNumberFormat="1" applyFont="1" applyFill="1" applyAlignment="1">
      <alignment vertical="top" wrapText="1"/>
    </xf>
    <xf numFmtId="0" fontId="12" fillId="0" borderId="0" xfId="1" applyFont="1" applyFill="1" applyAlignment="1">
      <alignment vertical="top"/>
    </xf>
    <xf numFmtId="0" fontId="9" fillId="0" borderId="0" xfId="1" applyNumberFormat="1" applyFont="1" applyFill="1" applyAlignment="1">
      <alignment vertical="top" wrapText="1"/>
    </xf>
    <xf numFmtId="0" fontId="11" fillId="0" borderId="0" xfId="1" applyFont="1" applyFill="1" applyAlignment="1">
      <alignment vertical="top"/>
    </xf>
    <xf numFmtId="0" fontId="8" fillId="0" borderId="0" xfId="1" applyNumberFormat="1" applyFont="1" applyFill="1" applyAlignment="1">
      <alignment vertical="top" wrapText="1"/>
    </xf>
    <xf numFmtId="0" fontId="4" fillId="0" borderId="0" xfId="1" applyFont="1" applyFill="1" applyAlignment="1">
      <alignment vertical="top"/>
    </xf>
    <xf numFmtId="3" fontId="8" fillId="0" borderId="5" xfId="1" applyNumberFormat="1" applyFont="1" applyFill="1" applyBorder="1" applyAlignment="1">
      <alignment horizontal="center" vertical="center" wrapText="1"/>
    </xf>
    <xf numFmtId="3" fontId="8" fillId="0" borderId="6" xfId="1" applyNumberFormat="1" applyFont="1" applyFill="1" applyBorder="1" applyAlignment="1">
      <alignment horizontal="center" vertical="center" wrapText="1"/>
    </xf>
    <xf numFmtId="0" fontId="6" fillId="0" borderId="0" xfId="1" applyNumberFormat="1" applyFont="1" applyFill="1" applyAlignment="1">
      <alignment horizontal="left" vertical="top"/>
    </xf>
    <xf numFmtId="0" fontId="8" fillId="0" borderId="0" xfId="1" applyNumberFormat="1" applyFont="1" applyFill="1" applyAlignment="1">
      <alignment horizontal="left" vertical="top"/>
    </xf>
    <xf numFmtId="0" fontId="8" fillId="0" borderId="2" xfId="1" applyNumberFormat="1" applyFont="1" applyFill="1" applyBorder="1" applyAlignment="1">
      <alignment vertical="top" wrapText="1"/>
    </xf>
    <xf numFmtId="0" fontId="4" fillId="0" borderId="2" xfId="1" applyFont="1" applyFill="1" applyBorder="1" applyAlignment="1">
      <alignment vertical="top"/>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7"/>
  <sheetViews>
    <sheetView tabSelected="1" zoomScale="70" zoomScaleNormal="70" workbookViewId="0">
      <pane ySplit="15" topLeftCell="A34" activePane="bottomLeft" state="frozen"/>
      <selection pane="bottomLeft" activeCell="Q14" sqref="Q14"/>
    </sheetView>
  </sheetViews>
  <sheetFormatPr defaultRowHeight="15.75" x14ac:dyDescent="0.25"/>
  <cols>
    <col min="1" max="1" width="35.140625" style="3" customWidth="1"/>
    <col min="2" max="2" width="63.140625" style="6" customWidth="1"/>
    <col min="3" max="3" width="17.140625" style="3" customWidth="1"/>
    <col min="4" max="4" width="16" style="3" customWidth="1"/>
    <col min="5" max="5" width="18" style="3" customWidth="1"/>
    <col min="6" max="6" width="18" style="171" customWidth="1"/>
    <col min="7" max="7" width="13" style="11" customWidth="1"/>
    <col min="8" max="8" width="13" style="14" customWidth="1"/>
    <col min="9" max="9" width="20.5703125" style="11" customWidth="1"/>
    <col min="10" max="10" width="17.7109375" style="11" customWidth="1"/>
    <col min="11" max="12" width="22.5703125" style="11" customWidth="1"/>
    <col min="13" max="14" width="21.42578125" style="11" customWidth="1"/>
    <col min="15" max="15" width="18.7109375" style="11" customWidth="1"/>
    <col min="16" max="16" width="9.140625" style="3" customWidth="1"/>
    <col min="17" max="17" width="13.28515625" style="3" customWidth="1"/>
    <col min="18" max="19" width="9.140625" style="3" customWidth="1"/>
    <col min="20" max="20" width="11" style="3" customWidth="1"/>
    <col min="21" max="22" width="9.140625" style="3" customWidth="1"/>
    <col min="23" max="16384" width="9.140625" style="3"/>
  </cols>
  <sheetData>
    <row r="1" spans="1:15" ht="18.75" customHeight="1" x14ac:dyDescent="0.25">
      <c r="A1" s="215" t="s">
        <v>234</v>
      </c>
      <c r="B1" s="215"/>
      <c r="C1" s="215"/>
      <c r="D1" s="215"/>
      <c r="E1" s="215"/>
      <c r="F1" s="215"/>
      <c r="G1" s="215"/>
      <c r="H1" s="215"/>
      <c r="I1" s="215"/>
      <c r="J1" s="215"/>
      <c r="K1" s="215"/>
      <c r="L1" s="215"/>
      <c r="M1" s="215"/>
      <c r="N1" s="215"/>
      <c r="O1" s="193"/>
    </row>
    <row r="2" spans="1:15" ht="18.75" customHeight="1" x14ac:dyDescent="0.25">
      <c r="A2" s="215"/>
      <c r="B2" s="215"/>
      <c r="C2" s="215"/>
      <c r="D2" s="215"/>
      <c r="E2" s="215"/>
      <c r="F2" s="215"/>
      <c r="G2" s="215"/>
      <c r="H2" s="215"/>
      <c r="I2" s="215"/>
      <c r="J2" s="215"/>
      <c r="K2" s="215"/>
      <c r="L2" s="215"/>
      <c r="M2" s="215"/>
      <c r="N2" s="215"/>
      <c r="O2" s="193"/>
    </row>
    <row r="3" spans="1:15" ht="18.75" x14ac:dyDescent="0.25">
      <c r="A3" s="215"/>
      <c r="B3" s="215"/>
      <c r="C3" s="215"/>
      <c r="D3" s="215"/>
      <c r="E3" s="215"/>
      <c r="F3" s="215"/>
      <c r="G3" s="215"/>
      <c r="H3" s="215"/>
      <c r="I3" s="215"/>
      <c r="J3" s="215"/>
      <c r="K3" s="215"/>
      <c r="L3" s="215"/>
      <c r="M3" s="215"/>
      <c r="N3" s="215"/>
      <c r="O3" s="193"/>
    </row>
    <row r="4" spans="1:15" ht="18.75" x14ac:dyDescent="0.25">
      <c r="A4" s="215"/>
      <c r="B4" s="215"/>
      <c r="C4" s="215"/>
      <c r="D4" s="215"/>
      <c r="E4" s="215"/>
      <c r="F4" s="215"/>
      <c r="G4" s="215"/>
      <c r="H4" s="215"/>
      <c r="I4" s="215"/>
      <c r="J4" s="215"/>
      <c r="K4" s="215"/>
      <c r="L4" s="215"/>
      <c r="M4" s="215"/>
      <c r="N4" s="215"/>
      <c r="O4" s="193"/>
    </row>
    <row r="5" spans="1:15" ht="18.75" customHeight="1" x14ac:dyDescent="0.25">
      <c r="A5" s="193"/>
      <c r="B5" s="193"/>
      <c r="C5" s="193"/>
      <c r="D5" s="193"/>
      <c r="E5" s="193"/>
      <c r="F5" s="193"/>
      <c r="G5" s="193"/>
      <c r="H5" s="193"/>
      <c r="I5" s="193"/>
      <c r="J5" s="193"/>
      <c r="K5" s="193"/>
      <c r="L5" s="193"/>
      <c r="M5" s="193"/>
      <c r="N5" s="193"/>
      <c r="O5" s="193"/>
    </row>
    <row r="6" spans="1:15" ht="18.75" customHeight="1" x14ac:dyDescent="0.25">
      <c r="A6" s="210" t="s">
        <v>206</v>
      </c>
      <c r="B6" s="210"/>
      <c r="C6" s="210"/>
      <c r="D6" s="210"/>
      <c r="E6" s="210"/>
      <c r="F6" s="210"/>
      <c r="G6" s="210"/>
      <c r="H6" s="210"/>
      <c r="I6" s="210"/>
      <c r="J6" s="210"/>
      <c r="K6" s="210"/>
      <c r="L6" s="210"/>
      <c r="M6" s="210"/>
      <c r="N6" s="210"/>
      <c r="O6" s="193"/>
    </row>
    <row r="7" spans="1:15" ht="18.75" customHeight="1" x14ac:dyDescent="0.25">
      <c r="A7" s="210"/>
      <c r="B7" s="210"/>
      <c r="C7" s="210"/>
      <c r="D7" s="210"/>
      <c r="E7" s="210"/>
      <c r="F7" s="210"/>
      <c r="G7" s="210"/>
      <c r="H7" s="210"/>
      <c r="I7" s="210"/>
      <c r="J7" s="210"/>
      <c r="K7" s="210"/>
      <c r="L7" s="210"/>
      <c r="M7" s="210"/>
      <c r="N7" s="210"/>
      <c r="O7" s="193"/>
    </row>
    <row r="8" spans="1:15" ht="18.75" customHeight="1" x14ac:dyDescent="0.25">
      <c r="A8" s="210"/>
      <c r="B8" s="210"/>
      <c r="C8" s="210"/>
      <c r="D8" s="210"/>
      <c r="E8" s="210"/>
      <c r="F8" s="210"/>
      <c r="G8" s="210"/>
      <c r="H8" s="210"/>
      <c r="I8" s="210"/>
      <c r="J8" s="210"/>
      <c r="K8" s="210"/>
      <c r="L8" s="210"/>
      <c r="M8" s="210"/>
      <c r="N8" s="210"/>
      <c r="O8" s="193"/>
    </row>
    <row r="9" spans="1:15" x14ac:dyDescent="0.25">
      <c r="A9" s="114"/>
      <c r="B9" s="114"/>
      <c r="C9" s="114"/>
      <c r="D9" s="114"/>
      <c r="E9" s="114"/>
      <c r="F9" s="170"/>
      <c r="G9" s="114"/>
      <c r="H9" s="114"/>
      <c r="I9" s="114"/>
      <c r="J9" s="114"/>
      <c r="K9" s="114"/>
      <c r="L9" s="114"/>
      <c r="M9" s="114"/>
      <c r="N9" s="114"/>
      <c r="O9" s="114"/>
    </row>
    <row r="10" spans="1:15" x14ac:dyDescent="0.25">
      <c r="B10" s="114" t="s">
        <v>96</v>
      </c>
      <c r="C10" s="196" t="s">
        <v>200</v>
      </c>
      <c r="D10" s="195">
        <v>36526</v>
      </c>
      <c r="E10" s="114"/>
      <c r="F10" s="170"/>
      <c r="G10" s="114"/>
      <c r="H10" s="114"/>
      <c r="I10" s="114"/>
      <c r="J10" s="114"/>
      <c r="K10" s="114"/>
      <c r="L10" s="114"/>
      <c r="M10" s="114"/>
      <c r="N10" s="114"/>
      <c r="O10" s="114"/>
    </row>
    <row r="11" spans="1:15" x14ac:dyDescent="0.25">
      <c r="B11" s="114" t="s">
        <v>83</v>
      </c>
      <c r="C11" s="197" t="s">
        <v>180</v>
      </c>
      <c r="D11" s="195"/>
      <c r="E11" s="114"/>
      <c r="F11" s="170"/>
      <c r="G11" s="114"/>
      <c r="H11" s="114"/>
      <c r="I11" s="114"/>
      <c r="J11" s="114"/>
      <c r="K11" s="114"/>
      <c r="L11" s="114"/>
      <c r="M11" s="114"/>
      <c r="N11" s="114"/>
      <c r="O11" s="114"/>
    </row>
    <row r="12" spans="1:15" x14ac:dyDescent="0.25">
      <c r="A12" s="114"/>
      <c r="B12" s="114"/>
      <c r="C12" s="114"/>
      <c r="D12" s="114"/>
      <c r="E12" s="114"/>
      <c r="F12" s="170"/>
      <c r="G12" s="114"/>
      <c r="H12" s="114"/>
      <c r="I12" s="114"/>
      <c r="J12" s="114"/>
      <c r="K12" s="114"/>
      <c r="L12" s="114"/>
      <c r="M12" s="114"/>
      <c r="N12" s="114"/>
      <c r="O12" s="114"/>
    </row>
    <row r="13" spans="1:15" ht="43.5" customHeight="1" x14ac:dyDescent="0.25">
      <c r="A13" s="218" t="s">
        <v>192</v>
      </c>
      <c r="B13" s="218" t="s">
        <v>110</v>
      </c>
      <c r="C13" s="218" t="s">
        <v>43</v>
      </c>
      <c r="D13" s="218" t="s">
        <v>42</v>
      </c>
      <c r="E13" s="174" t="s">
        <v>45</v>
      </c>
      <c r="F13" s="209" t="s">
        <v>40</v>
      </c>
      <c r="G13" s="209"/>
      <c r="H13" s="209"/>
      <c r="I13" s="216" t="str">
        <f>"Сметная цена в текущем уровне цен для субъекта РФ "&amp;C11&amp;" по состоянию на "&amp;C10&amp;", руб./ед.изм."</f>
        <v>Сметная цена в текущем уровне цен для субъекта РФ Новосибирская область (1 зона) по состоянию на IV кв. 2022г., руб./ед.изм.</v>
      </c>
      <c r="J13" s="212" t="str">
        <f>"Дефлятор на "&amp;C10&amp;" / Индекс изменения сметной стоимости строительства по группам однородных строительных ресурсов"</f>
        <v>Дефлятор на IV кв. 2022г. / Индекс изменения сметной стоимости строительства по группам однородных строительных ресурсов</v>
      </c>
      <c r="K13" s="212" t="str">
        <f>"Индекс изменения сметной стоимости строительства для Московской области на "&amp;C10&amp;" по виду объекта "&amp;B92&amp;"*"</f>
        <v>Индекс изменения сметной стоимости строительства для Московской области на IV кв. 2022г. по виду объекта "Прочие объекты"*</v>
      </c>
      <c r="L13" s="216" t="str">
        <f>"Индекс изменения сметной стоимости строительства для субъекта РФ "&amp;C11&amp;" на "&amp;C10&amp;" по виду объекта "&amp;B92&amp;", а также для услуг на перевозку грузов**"</f>
        <v>Индекс изменения сметной стоимости строительства для субъекта РФ Новосибирская область (1 зона) на IV кв. 2022г. по виду объекта "Прочие объекты", а также для услуг на перевозку грузов**</v>
      </c>
      <c r="M13" s="209" t="s">
        <v>198</v>
      </c>
      <c r="N13" s="209"/>
      <c r="O13" s="3"/>
    </row>
    <row r="14" spans="1:15" ht="167.25" customHeight="1" x14ac:dyDescent="0.25">
      <c r="A14" s="218"/>
      <c r="B14" s="218"/>
      <c r="C14" s="218"/>
      <c r="D14" s="218"/>
      <c r="E14" s="10" t="s">
        <v>195</v>
      </c>
      <c r="F14" s="10" t="s">
        <v>68</v>
      </c>
      <c r="G14" s="15" t="s">
        <v>47</v>
      </c>
      <c r="H14" s="10" t="s">
        <v>48</v>
      </c>
      <c r="I14" s="217"/>
      <c r="J14" s="213"/>
      <c r="K14" s="213"/>
      <c r="L14" s="217"/>
      <c r="M14" s="12" t="str">
        <f>"в текущем уровне цен для субъекта РФ "&amp;C11&amp;" по состоянию на "&amp;C10&amp;", руб."</f>
        <v>в текущем уровне цен для субъекта РФ Новосибирская область (1 зона) по состоянию на IV кв. 2022г., руб.</v>
      </c>
      <c r="N14" s="10" t="s">
        <v>199</v>
      </c>
      <c r="O14" s="198"/>
    </row>
    <row r="15" spans="1:15" x14ac:dyDescent="0.25">
      <c r="A15" s="4">
        <v>1</v>
      </c>
      <c r="B15" s="4">
        <f t="shared" ref="B15:N15" si="0">A15+1</f>
        <v>2</v>
      </c>
      <c r="C15" s="4">
        <f t="shared" si="0"/>
        <v>3</v>
      </c>
      <c r="D15" s="4">
        <f t="shared" si="0"/>
        <v>4</v>
      </c>
      <c r="E15" s="4">
        <f t="shared" si="0"/>
        <v>5</v>
      </c>
      <c r="F15" s="8">
        <f t="shared" si="0"/>
        <v>6</v>
      </c>
      <c r="G15" s="8">
        <f t="shared" ref="G15" si="1">F15+1</f>
        <v>7</v>
      </c>
      <c r="H15" s="8">
        <f t="shared" ref="H15" si="2">G15+1</f>
        <v>8</v>
      </c>
      <c r="I15" s="8">
        <f t="shared" ref="I15" si="3">H15+1</f>
        <v>9</v>
      </c>
      <c r="J15" s="8">
        <f t="shared" ref="J15" si="4">I15+1</f>
        <v>10</v>
      </c>
      <c r="K15" s="8">
        <f t="shared" ref="K15" si="5">J15+1</f>
        <v>11</v>
      </c>
      <c r="L15" s="8">
        <f t="shared" ref="L15" si="6">K15+1</f>
        <v>12</v>
      </c>
      <c r="M15" s="8">
        <f t="shared" si="0"/>
        <v>13</v>
      </c>
      <c r="N15" s="8">
        <f t="shared" si="0"/>
        <v>14</v>
      </c>
      <c r="O15" s="198"/>
    </row>
    <row r="16" spans="1:15" ht="78.75" x14ac:dyDescent="0.25">
      <c r="A16" s="118" t="s">
        <v>75</v>
      </c>
      <c r="B16" s="119" t="s">
        <v>16</v>
      </c>
      <c r="C16" s="120" t="s">
        <v>0</v>
      </c>
      <c r="D16" s="9"/>
      <c r="E16" s="121"/>
      <c r="F16" s="10"/>
      <c r="G16" s="15"/>
      <c r="H16" s="10"/>
      <c r="I16" s="10"/>
      <c r="J16" s="10"/>
      <c r="K16" s="10"/>
      <c r="L16" s="10"/>
      <c r="M16" s="122">
        <f>M17+M37+M52</f>
        <v>61334.586530948887</v>
      </c>
      <c r="N16" s="122">
        <f>N17+N37+N52</f>
        <v>4938.3580014868603</v>
      </c>
      <c r="O16" s="198"/>
    </row>
    <row r="17" spans="1:19" s="7" customFormat="1" x14ac:dyDescent="0.25">
      <c r="A17" s="124" t="s">
        <v>17</v>
      </c>
      <c r="B17" s="125" t="s">
        <v>203</v>
      </c>
      <c r="C17" s="123" t="s">
        <v>54</v>
      </c>
      <c r="D17" s="123">
        <v>28.67</v>
      </c>
      <c r="E17" s="126"/>
      <c r="F17" s="127"/>
      <c r="G17" s="128"/>
      <c r="H17" s="127"/>
      <c r="I17" s="126">
        <v>352.07</v>
      </c>
      <c r="J17" s="127"/>
      <c r="K17" s="127"/>
      <c r="L17" s="127">
        <f>$D$93</f>
        <v>36.96</v>
      </c>
      <c r="M17" s="127">
        <f>D17*I17</f>
        <v>10093.8469</v>
      </c>
      <c r="N17" s="127">
        <f>M17/L17</f>
        <v>273.10191829004327</v>
      </c>
      <c r="O17" s="199"/>
    </row>
    <row r="18" spans="1:19" s="7" customFormat="1" x14ac:dyDescent="0.25">
      <c r="A18" s="130">
        <v>2</v>
      </c>
      <c r="B18" s="131" t="s">
        <v>1</v>
      </c>
      <c r="C18" s="129" t="s">
        <v>54</v>
      </c>
      <c r="D18" s="129">
        <v>10.15</v>
      </c>
      <c r="E18" s="132"/>
      <c r="F18" s="132"/>
      <c r="G18" s="133"/>
      <c r="H18" s="132"/>
      <c r="I18" s="132"/>
      <c r="J18" s="132"/>
      <c r="K18" s="132"/>
      <c r="L18" s="132"/>
      <c r="M18" s="132"/>
      <c r="N18" s="132"/>
      <c r="O18" s="199"/>
    </row>
    <row r="19" spans="1:19" ht="63" x14ac:dyDescent="0.25">
      <c r="A19" s="135" t="s">
        <v>2</v>
      </c>
      <c r="B19" s="136" t="s">
        <v>3</v>
      </c>
      <c r="C19" s="134" t="s">
        <v>4</v>
      </c>
      <c r="D19" s="134">
        <v>0.73</v>
      </c>
      <c r="E19" s="137">
        <v>218.17</v>
      </c>
      <c r="F19" s="137"/>
      <c r="G19" s="138"/>
      <c r="H19" s="137"/>
      <c r="I19" s="137"/>
      <c r="J19" s="137"/>
      <c r="K19" s="137"/>
      <c r="L19" s="137">
        <f>$D$95</f>
        <v>12.82</v>
      </c>
      <c r="M19" s="137">
        <f t="shared" ref="M19:M24" si="7">D19*E19*L19</f>
        <v>2041.7657619999998</v>
      </c>
      <c r="N19" s="137">
        <f t="shared" ref="N19:N24" si="8">M19/L19</f>
        <v>159.26409999999998</v>
      </c>
      <c r="O19" s="198"/>
    </row>
    <row r="20" spans="1:19" s="7" customFormat="1" x14ac:dyDescent="0.25">
      <c r="A20" s="165"/>
      <c r="B20" s="166" t="s">
        <v>44</v>
      </c>
      <c r="C20" s="167" t="s">
        <v>54</v>
      </c>
      <c r="D20" s="167">
        <f>D19</f>
        <v>0.73</v>
      </c>
      <c r="E20" s="168">
        <v>13.5</v>
      </c>
      <c r="F20" s="168"/>
      <c r="G20" s="169"/>
      <c r="H20" s="168"/>
      <c r="I20" s="168"/>
      <c r="J20" s="168"/>
      <c r="K20" s="168"/>
      <c r="L20" s="168">
        <f>$D$93</f>
        <v>36.96</v>
      </c>
      <c r="M20" s="168">
        <f t="shared" si="7"/>
        <v>364.24080000000004</v>
      </c>
      <c r="N20" s="168">
        <f t="shared" si="8"/>
        <v>9.8550000000000004</v>
      </c>
      <c r="O20" s="199"/>
    </row>
    <row r="21" spans="1:19" ht="31.5" x14ac:dyDescent="0.25">
      <c r="A21" s="135" t="s">
        <v>18</v>
      </c>
      <c r="B21" s="136" t="s">
        <v>19</v>
      </c>
      <c r="C21" s="134" t="s">
        <v>4</v>
      </c>
      <c r="D21" s="134">
        <v>2.4300000000000002</v>
      </c>
      <c r="E21" s="137">
        <v>674.68</v>
      </c>
      <c r="F21" s="137"/>
      <c r="G21" s="138"/>
      <c r="H21" s="137"/>
      <c r="I21" s="137"/>
      <c r="J21" s="137"/>
      <c r="K21" s="137"/>
      <c r="L21" s="137">
        <f>$D$95</f>
        <v>12.82</v>
      </c>
      <c r="M21" s="137">
        <f t="shared" si="7"/>
        <v>21018.036167999999</v>
      </c>
      <c r="N21" s="137">
        <f t="shared" si="8"/>
        <v>1639.4723999999999</v>
      </c>
      <c r="O21" s="198"/>
    </row>
    <row r="22" spans="1:19" s="7" customFormat="1" x14ac:dyDescent="0.25">
      <c r="A22" s="165"/>
      <c r="B22" s="166" t="s">
        <v>44</v>
      </c>
      <c r="C22" s="167" t="s">
        <v>54</v>
      </c>
      <c r="D22" s="167">
        <f>D21</f>
        <v>2.4300000000000002</v>
      </c>
      <c r="E22" s="168">
        <v>13.5</v>
      </c>
      <c r="F22" s="168"/>
      <c r="G22" s="169"/>
      <c r="H22" s="168"/>
      <c r="I22" s="168"/>
      <c r="J22" s="168"/>
      <c r="K22" s="168"/>
      <c r="L22" s="168">
        <f>$D$93</f>
        <v>36.96</v>
      </c>
      <c r="M22" s="168">
        <f t="shared" si="7"/>
        <v>1212.4728</v>
      </c>
      <c r="N22" s="168">
        <f t="shared" si="8"/>
        <v>32.805</v>
      </c>
      <c r="O22" s="199"/>
    </row>
    <row r="23" spans="1:19" x14ac:dyDescent="0.25">
      <c r="A23" s="135" t="s">
        <v>20</v>
      </c>
      <c r="B23" s="136" t="s">
        <v>21</v>
      </c>
      <c r="C23" s="134" t="s">
        <v>4</v>
      </c>
      <c r="D23" s="134">
        <v>1.56</v>
      </c>
      <c r="E23" s="137">
        <v>10.050000000000001</v>
      </c>
      <c r="F23" s="137"/>
      <c r="G23" s="138"/>
      <c r="H23" s="137"/>
      <c r="I23" s="137"/>
      <c r="J23" s="137"/>
      <c r="K23" s="137"/>
      <c r="L23" s="137">
        <f>$D$95</f>
        <v>12.82</v>
      </c>
      <c r="M23" s="137">
        <f t="shared" si="7"/>
        <v>200.99196000000001</v>
      </c>
      <c r="N23" s="137">
        <f t="shared" si="8"/>
        <v>15.678000000000001</v>
      </c>
      <c r="O23" s="198"/>
    </row>
    <row r="24" spans="1:19" s="7" customFormat="1" x14ac:dyDescent="0.25">
      <c r="A24" s="165"/>
      <c r="B24" s="166" t="s">
        <v>44</v>
      </c>
      <c r="C24" s="167" t="s">
        <v>54</v>
      </c>
      <c r="D24" s="167">
        <f>D23</f>
        <v>1.56</v>
      </c>
      <c r="E24" s="168">
        <v>0</v>
      </c>
      <c r="F24" s="168"/>
      <c r="G24" s="169"/>
      <c r="H24" s="168"/>
      <c r="I24" s="168"/>
      <c r="J24" s="168"/>
      <c r="K24" s="168"/>
      <c r="L24" s="168">
        <f>$D$93</f>
        <v>36.96</v>
      </c>
      <c r="M24" s="168">
        <f t="shared" si="7"/>
        <v>0</v>
      </c>
      <c r="N24" s="168">
        <f t="shared" si="8"/>
        <v>0</v>
      </c>
      <c r="O24" s="199"/>
    </row>
    <row r="25" spans="1:19" ht="78.75" x14ac:dyDescent="0.25">
      <c r="A25" s="135" t="s">
        <v>22</v>
      </c>
      <c r="B25" s="136" t="s">
        <v>23</v>
      </c>
      <c r="C25" s="134" t="s">
        <v>4</v>
      </c>
      <c r="D25" s="134">
        <v>4.42</v>
      </c>
      <c r="E25" s="137"/>
      <c r="F25" s="137">
        <v>1145.94</v>
      </c>
      <c r="G25" s="138"/>
      <c r="H25" s="137"/>
      <c r="I25" s="137"/>
      <c r="J25" s="154">
        <v>1.1198999999999999</v>
      </c>
      <c r="K25" s="137">
        <f>$D$89</f>
        <v>13.05</v>
      </c>
      <c r="L25" s="137">
        <f>$D$95</f>
        <v>12.82</v>
      </c>
      <c r="M25" s="137">
        <f>N25*L25</f>
        <v>5572.3823325721369</v>
      </c>
      <c r="N25" s="137">
        <f>D25*(F25*J25/K25+H26*I26/L25)</f>
        <v>434.66320846896542</v>
      </c>
      <c r="O25" s="198"/>
      <c r="P25" s="11"/>
      <c r="S25" s="11"/>
    </row>
    <row r="26" spans="1:19" x14ac:dyDescent="0.25">
      <c r="A26" s="165"/>
      <c r="B26" s="166" t="s">
        <v>44</v>
      </c>
      <c r="C26" s="167" t="s">
        <v>54</v>
      </c>
      <c r="D26" s="167">
        <f>D25</f>
        <v>4.42</v>
      </c>
      <c r="E26" s="168"/>
      <c r="F26" s="163"/>
      <c r="G26" s="169"/>
      <c r="H26" s="168"/>
      <c r="I26" s="168">
        <v>0</v>
      </c>
      <c r="J26" s="168"/>
      <c r="K26" s="168"/>
      <c r="L26" s="168">
        <f>$D$93</f>
        <v>36.96</v>
      </c>
      <c r="M26" s="168">
        <f>D26*I26*H26</f>
        <v>0</v>
      </c>
      <c r="N26" s="168">
        <f>M26/L26</f>
        <v>0</v>
      </c>
      <c r="O26" s="198"/>
    </row>
    <row r="27" spans="1:19" ht="110.25" x14ac:dyDescent="0.25">
      <c r="A27" s="135" t="s">
        <v>24</v>
      </c>
      <c r="B27" s="136" t="s">
        <v>25</v>
      </c>
      <c r="C27" s="134" t="s">
        <v>4</v>
      </c>
      <c r="D27" s="134">
        <v>1.52</v>
      </c>
      <c r="E27" s="137"/>
      <c r="F27" s="137">
        <v>151.77000000000001</v>
      </c>
      <c r="G27" s="138"/>
      <c r="H27" s="137"/>
      <c r="I27" s="137"/>
      <c r="J27" s="154">
        <v>1.1198999999999999</v>
      </c>
      <c r="K27" s="137">
        <f>$D$89</f>
        <v>13.05</v>
      </c>
      <c r="L27" s="137">
        <f>$D$95</f>
        <v>12.82</v>
      </c>
      <c r="M27" s="137">
        <f>N27*L27</f>
        <v>1416.9616807867587</v>
      </c>
      <c r="N27" s="137">
        <f>D27*(F27*J27/K27+H28*I28/L27)</f>
        <v>110.52743219865512</v>
      </c>
      <c r="O27" s="198"/>
      <c r="P27" s="11"/>
    </row>
    <row r="28" spans="1:19" x14ac:dyDescent="0.25">
      <c r="A28" s="165"/>
      <c r="B28" s="166" t="s">
        <v>44</v>
      </c>
      <c r="C28" s="167" t="s">
        <v>54</v>
      </c>
      <c r="D28" s="167">
        <f>D27</f>
        <v>1.52</v>
      </c>
      <c r="E28" s="168"/>
      <c r="F28" s="163"/>
      <c r="G28" s="164">
        <v>4.5</v>
      </c>
      <c r="H28" s="163">
        <v>2</v>
      </c>
      <c r="I28" s="168">
        <v>382.62</v>
      </c>
      <c r="J28" s="168"/>
      <c r="K28" s="168"/>
      <c r="L28" s="168">
        <f>$D$93</f>
        <v>36.96</v>
      </c>
      <c r="M28" s="168">
        <f>D28*I28*H28</f>
        <v>1163.1648</v>
      </c>
      <c r="N28" s="168">
        <f t="shared" ref="N28:N36" si="9">M28/L28</f>
        <v>31.470909090909089</v>
      </c>
      <c r="O28" s="198"/>
    </row>
    <row r="29" spans="1:19" x14ac:dyDescent="0.25">
      <c r="A29" s="135" t="s">
        <v>26</v>
      </c>
      <c r="B29" s="136" t="s">
        <v>27</v>
      </c>
      <c r="C29" s="134" t="s">
        <v>4</v>
      </c>
      <c r="D29" s="134">
        <v>0.06</v>
      </c>
      <c r="E29" s="137">
        <v>100.72</v>
      </c>
      <c r="F29" s="137"/>
      <c r="G29" s="138"/>
      <c r="H29" s="137"/>
      <c r="I29" s="137"/>
      <c r="J29" s="137"/>
      <c r="K29" s="137"/>
      <c r="L29" s="137">
        <f>$D$95</f>
        <v>12.82</v>
      </c>
      <c r="M29" s="137">
        <f t="shared" ref="M29:M36" si="10">D29*E29*L29</f>
        <v>77.473823999999993</v>
      </c>
      <c r="N29" s="137">
        <f t="shared" si="9"/>
        <v>6.0431999999999997</v>
      </c>
      <c r="O29" s="198"/>
    </row>
    <row r="30" spans="1:19" x14ac:dyDescent="0.25">
      <c r="A30" s="165"/>
      <c r="B30" s="166" t="s">
        <v>44</v>
      </c>
      <c r="C30" s="167" t="s">
        <v>54</v>
      </c>
      <c r="D30" s="167">
        <f>D29</f>
        <v>0.06</v>
      </c>
      <c r="E30" s="168">
        <v>11.6</v>
      </c>
      <c r="F30" s="168"/>
      <c r="G30" s="169"/>
      <c r="H30" s="168"/>
      <c r="I30" s="168"/>
      <c r="J30" s="168"/>
      <c r="K30" s="168"/>
      <c r="L30" s="168">
        <f>$D$93</f>
        <v>36.96</v>
      </c>
      <c r="M30" s="168">
        <f t="shared" si="10"/>
        <v>25.724159999999998</v>
      </c>
      <c r="N30" s="168">
        <f t="shared" si="9"/>
        <v>0.69599999999999995</v>
      </c>
      <c r="O30" s="198"/>
    </row>
    <row r="31" spans="1:19" x14ac:dyDescent="0.25">
      <c r="A31" s="135" t="s">
        <v>5</v>
      </c>
      <c r="B31" s="136" t="s">
        <v>6</v>
      </c>
      <c r="C31" s="134" t="s">
        <v>4</v>
      </c>
      <c r="D31" s="134">
        <v>0.48</v>
      </c>
      <c r="E31" s="137">
        <v>80.44</v>
      </c>
      <c r="F31" s="137"/>
      <c r="G31" s="138"/>
      <c r="H31" s="137"/>
      <c r="I31" s="137"/>
      <c r="J31" s="137"/>
      <c r="K31" s="137"/>
      <c r="L31" s="137">
        <f>$D$95</f>
        <v>12.82</v>
      </c>
      <c r="M31" s="137">
        <f t="shared" si="10"/>
        <v>494.99558399999995</v>
      </c>
      <c r="N31" s="137">
        <f t="shared" si="9"/>
        <v>38.611199999999997</v>
      </c>
      <c r="O31" s="198"/>
    </row>
    <row r="32" spans="1:19" x14ac:dyDescent="0.25">
      <c r="A32" s="165"/>
      <c r="B32" s="166" t="s">
        <v>44</v>
      </c>
      <c r="C32" s="167" t="s">
        <v>54</v>
      </c>
      <c r="D32" s="167">
        <f>D31</f>
        <v>0.48</v>
      </c>
      <c r="E32" s="168">
        <v>13.5</v>
      </c>
      <c r="F32" s="168"/>
      <c r="G32" s="169"/>
      <c r="H32" s="168"/>
      <c r="I32" s="168"/>
      <c r="J32" s="168"/>
      <c r="K32" s="168"/>
      <c r="L32" s="168">
        <f>$D$93</f>
        <v>36.96</v>
      </c>
      <c r="M32" s="168">
        <f t="shared" si="10"/>
        <v>239.5008</v>
      </c>
      <c r="N32" s="168">
        <f t="shared" si="9"/>
        <v>6.4799999999999995</v>
      </c>
      <c r="O32" s="198"/>
    </row>
    <row r="33" spans="1:15" x14ac:dyDescent="0.25">
      <c r="A33" s="135" t="s">
        <v>28</v>
      </c>
      <c r="B33" s="136" t="s">
        <v>29</v>
      </c>
      <c r="C33" s="134" t="s">
        <v>4</v>
      </c>
      <c r="D33" s="134">
        <v>3.41</v>
      </c>
      <c r="E33" s="137">
        <v>116.79</v>
      </c>
      <c r="F33" s="137"/>
      <c r="G33" s="138"/>
      <c r="H33" s="137"/>
      <c r="I33" s="137"/>
      <c r="J33" s="137"/>
      <c r="K33" s="137"/>
      <c r="L33" s="137">
        <f>$D$95</f>
        <v>12.82</v>
      </c>
      <c r="M33" s="137">
        <f t="shared" si="10"/>
        <v>5105.6149980000009</v>
      </c>
      <c r="N33" s="137">
        <f t="shared" si="9"/>
        <v>398.25390000000004</v>
      </c>
      <c r="O33" s="198"/>
    </row>
    <row r="34" spans="1:15" x14ac:dyDescent="0.25">
      <c r="A34" s="165"/>
      <c r="B34" s="166" t="s">
        <v>44</v>
      </c>
      <c r="C34" s="167" t="s">
        <v>54</v>
      </c>
      <c r="D34" s="167">
        <f>D33</f>
        <v>3.41</v>
      </c>
      <c r="E34" s="168">
        <v>13.5</v>
      </c>
      <c r="F34" s="168"/>
      <c r="G34" s="169"/>
      <c r="H34" s="168"/>
      <c r="I34" s="168"/>
      <c r="J34" s="168"/>
      <c r="K34" s="168"/>
      <c r="L34" s="168">
        <f>$D$93</f>
        <v>36.96</v>
      </c>
      <c r="M34" s="168">
        <f t="shared" si="10"/>
        <v>1701.4536000000003</v>
      </c>
      <c r="N34" s="168">
        <f t="shared" si="9"/>
        <v>46.035000000000004</v>
      </c>
      <c r="O34" s="198"/>
    </row>
    <row r="35" spans="1:15" x14ac:dyDescent="0.25">
      <c r="A35" s="135" t="s">
        <v>7</v>
      </c>
      <c r="B35" s="136" t="s">
        <v>8</v>
      </c>
      <c r="C35" s="134" t="s">
        <v>4</v>
      </c>
      <c r="D35" s="134">
        <v>0.14000000000000001</v>
      </c>
      <c r="E35" s="137">
        <v>1.2</v>
      </c>
      <c r="F35" s="137"/>
      <c r="G35" s="138"/>
      <c r="H35" s="137"/>
      <c r="I35" s="137"/>
      <c r="J35" s="137"/>
      <c r="K35" s="137"/>
      <c r="L35" s="137">
        <f>$D$95</f>
        <v>12.82</v>
      </c>
      <c r="M35" s="137">
        <f t="shared" si="10"/>
        <v>2.1537600000000001</v>
      </c>
      <c r="N35" s="137">
        <f t="shared" si="9"/>
        <v>0.16800000000000001</v>
      </c>
      <c r="O35" s="198"/>
    </row>
    <row r="36" spans="1:15" x14ac:dyDescent="0.25">
      <c r="A36" s="165"/>
      <c r="B36" s="166" t="s">
        <v>44</v>
      </c>
      <c r="C36" s="167" t="s">
        <v>54</v>
      </c>
      <c r="D36" s="167">
        <f>D35</f>
        <v>0.14000000000000001</v>
      </c>
      <c r="E36" s="168">
        <v>0</v>
      </c>
      <c r="F36" s="168"/>
      <c r="G36" s="169"/>
      <c r="H36" s="168"/>
      <c r="I36" s="168"/>
      <c r="J36" s="168"/>
      <c r="K36" s="168"/>
      <c r="L36" s="168">
        <f>$D$93</f>
        <v>36.96</v>
      </c>
      <c r="M36" s="168">
        <f t="shared" si="10"/>
        <v>0</v>
      </c>
      <c r="N36" s="168">
        <f t="shared" si="9"/>
        <v>0</v>
      </c>
      <c r="O36" s="198"/>
    </row>
    <row r="37" spans="1:15" s="117" customFormat="1" x14ac:dyDescent="0.25">
      <c r="A37" s="140"/>
      <c r="B37" s="141" t="s">
        <v>69</v>
      </c>
      <c r="C37" s="139"/>
      <c r="D37" s="139"/>
      <c r="E37" s="142"/>
      <c r="F37" s="142"/>
      <c r="G37" s="143"/>
      <c r="H37" s="142"/>
      <c r="I37" s="142"/>
      <c r="J37" s="142"/>
      <c r="K37" s="142"/>
      <c r="L37" s="142"/>
      <c r="M37" s="142">
        <f>M19+M21+M23+M25+M27+M29+M31+M33+M35</f>
        <v>35930.376069358892</v>
      </c>
      <c r="N37" s="142">
        <f>N19+N21+N23+N25+N27+N29+N31+N33+N35</f>
        <v>2802.6814406676208</v>
      </c>
      <c r="O37" s="200"/>
    </row>
    <row r="38" spans="1:15" s="117" customFormat="1" x14ac:dyDescent="0.25">
      <c r="A38" s="140"/>
      <c r="B38" s="141" t="s">
        <v>190</v>
      </c>
      <c r="C38" s="139"/>
      <c r="D38" s="139"/>
      <c r="E38" s="142"/>
      <c r="F38" s="142"/>
      <c r="G38" s="143"/>
      <c r="H38" s="142"/>
      <c r="I38" s="142"/>
      <c r="J38" s="142"/>
      <c r="K38" s="142"/>
      <c r="L38" s="142"/>
      <c r="M38" s="142">
        <f>M20+M22+M24+M26+M28+M30+M32+M34+M36</f>
        <v>4706.5569599999999</v>
      </c>
      <c r="N38" s="142">
        <f>N20+N22+N24+N26+N28+N30+N32+N34+N36</f>
        <v>127.3419090909091</v>
      </c>
      <c r="O38" s="200"/>
    </row>
    <row r="39" spans="1:15" x14ac:dyDescent="0.25">
      <c r="A39" s="135" t="s">
        <v>9</v>
      </c>
      <c r="B39" s="136" t="s">
        <v>10</v>
      </c>
      <c r="C39" s="134" t="s">
        <v>11</v>
      </c>
      <c r="D39" s="134">
        <v>0.1028</v>
      </c>
      <c r="E39" s="137">
        <v>6.22</v>
      </c>
      <c r="F39" s="144"/>
      <c r="G39" s="145"/>
      <c r="H39" s="144"/>
      <c r="I39" s="144"/>
      <c r="J39" s="144"/>
      <c r="K39" s="144"/>
      <c r="L39" s="144">
        <f t="shared" ref="L39:L44" si="11">$D$94</f>
        <v>8.2200000000000006</v>
      </c>
      <c r="M39" s="144">
        <f>D39*E39*L39</f>
        <v>5.2559995200000005</v>
      </c>
      <c r="N39" s="146">
        <f>M39/L39</f>
        <v>0.63941599999999998</v>
      </c>
      <c r="O39" s="198"/>
    </row>
    <row r="40" spans="1:15" x14ac:dyDescent="0.25">
      <c r="A40" s="135" t="s">
        <v>12</v>
      </c>
      <c r="B40" s="136" t="s">
        <v>13</v>
      </c>
      <c r="C40" s="134" t="s">
        <v>14</v>
      </c>
      <c r="D40" s="134">
        <v>1.2200000000000001E-2</v>
      </c>
      <c r="E40" s="137">
        <v>6.09</v>
      </c>
      <c r="F40" s="144"/>
      <c r="G40" s="145"/>
      <c r="H40" s="144"/>
      <c r="I40" s="144"/>
      <c r="J40" s="144"/>
      <c r="K40" s="144"/>
      <c r="L40" s="144">
        <f t="shared" si="11"/>
        <v>8.2200000000000006</v>
      </c>
      <c r="M40" s="144">
        <f t="shared" ref="M40:M44" si="12">D40*E40*L40</f>
        <v>0.61072956000000012</v>
      </c>
      <c r="N40" s="146">
        <f t="shared" ref="N40:N42" si="13">M40/L40</f>
        <v>7.4298000000000003E-2</v>
      </c>
      <c r="O40" s="198"/>
    </row>
    <row r="41" spans="1:15" x14ac:dyDescent="0.25">
      <c r="A41" s="135" t="s">
        <v>30</v>
      </c>
      <c r="B41" s="136" t="s">
        <v>31</v>
      </c>
      <c r="C41" s="134" t="s">
        <v>11</v>
      </c>
      <c r="D41" s="134">
        <v>0.1077</v>
      </c>
      <c r="E41" s="137">
        <v>2.44</v>
      </c>
      <c r="F41" s="144"/>
      <c r="G41" s="145"/>
      <c r="H41" s="144"/>
      <c r="I41" s="144"/>
      <c r="J41" s="144"/>
      <c r="K41" s="144"/>
      <c r="L41" s="144">
        <f t="shared" si="11"/>
        <v>8.2200000000000006</v>
      </c>
      <c r="M41" s="144">
        <f t="shared" si="12"/>
        <v>2.1601173600000005</v>
      </c>
      <c r="N41" s="146">
        <f t="shared" si="13"/>
        <v>0.26278800000000002</v>
      </c>
      <c r="O41" s="198"/>
    </row>
    <row r="42" spans="1:15" x14ac:dyDescent="0.25">
      <c r="A42" s="135" t="s">
        <v>32</v>
      </c>
      <c r="B42" s="136" t="s">
        <v>33</v>
      </c>
      <c r="C42" s="134" t="s">
        <v>15</v>
      </c>
      <c r="D42" s="134">
        <v>1E-3</v>
      </c>
      <c r="E42" s="137">
        <v>18128.57</v>
      </c>
      <c r="F42" s="144"/>
      <c r="G42" s="145"/>
      <c r="H42" s="144"/>
      <c r="I42" s="144"/>
      <c r="J42" s="144"/>
      <c r="K42" s="144"/>
      <c r="L42" s="144">
        <f t="shared" si="11"/>
        <v>8.2200000000000006</v>
      </c>
      <c r="M42" s="144">
        <f>D42*E42*L42</f>
        <v>149.01684540000002</v>
      </c>
      <c r="N42" s="146">
        <f t="shared" si="13"/>
        <v>18.12857</v>
      </c>
      <c r="O42" s="198"/>
    </row>
    <row r="43" spans="1:15" ht="31.5" x14ac:dyDescent="0.25">
      <c r="A43" s="204" t="s">
        <v>230</v>
      </c>
      <c r="B43" s="136" t="s">
        <v>34</v>
      </c>
      <c r="C43" s="134" t="s">
        <v>11</v>
      </c>
      <c r="D43" s="134">
        <v>0.37409999999999999</v>
      </c>
      <c r="E43" s="203"/>
      <c r="F43" s="144"/>
      <c r="G43" s="145"/>
      <c r="H43" s="144"/>
      <c r="I43" s="144">
        <v>593.46</v>
      </c>
      <c r="J43" s="144"/>
      <c r="K43" s="144"/>
      <c r="L43" s="144">
        <f t="shared" si="11"/>
        <v>8.2200000000000006</v>
      </c>
      <c r="M43" s="144">
        <f>D43*I43</f>
        <v>222.013386</v>
      </c>
      <c r="N43" s="146">
        <f t="shared" ref="N43:N48" si="14">M43/L43</f>
        <v>27.008927737226276</v>
      </c>
      <c r="O43" s="198"/>
    </row>
    <row r="44" spans="1:15" ht="31.5" x14ac:dyDescent="0.25">
      <c r="A44" s="135" t="s">
        <v>35</v>
      </c>
      <c r="B44" s="136" t="s">
        <v>36</v>
      </c>
      <c r="C44" s="134" t="s">
        <v>15</v>
      </c>
      <c r="D44" s="134">
        <v>0.23749999999999999</v>
      </c>
      <c r="E44" s="137">
        <v>524.46</v>
      </c>
      <c r="F44" s="144"/>
      <c r="G44" s="145"/>
      <c r="H44" s="144"/>
      <c r="I44" s="144"/>
      <c r="J44" s="144"/>
      <c r="K44" s="144"/>
      <c r="L44" s="144">
        <f t="shared" si="11"/>
        <v>8.2200000000000006</v>
      </c>
      <c r="M44" s="144">
        <f t="shared" si="12"/>
        <v>1023.8770350000001</v>
      </c>
      <c r="N44" s="146">
        <f t="shared" si="14"/>
        <v>124.55925000000001</v>
      </c>
      <c r="O44" s="198"/>
    </row>
    <row r="45" spans="1:15" ht="47.25" x14ac:dyDescent="0.25">
      <c r="A45" s="204" t="s">
        <v>231</v>
      </c>
      <c r="B45" s="136" t="s">
        <v>37</v>
      </c>
      <c r="C45" s="134" t="s">
        <v>0</v>
      </c>
      <c r="D45" s="134">
        <v>7.9799999999999996E-2</v>
      </c>
      <c r="E45" s="203"/>
      <c r="F45" s="144"/>
      <c r="G45" s="145"/>
      <c r="H45" s="144"/>
      <c r="I45" s="144">
        <v>98697.490399999995</v>
      </c>
      <c r="J45" s="144"/>
      <c r="K45" s="144"/>
      <c r="L45" s="144">
        <f t="shared" ref="L45:L47" si="15">$D$94</f>
        <v>8.2200000000000006</v>
      </c>
      <c r="M45" s="144">
        <f t="shared" ref="M45:M47" si="16">D45*I45</f>
        <v>7876.0597339199994</v>
      </c>
      <c r="N45" s="146">
        <f t="shared" si="14"/>
        <v>958.15811848175167</v>
      </c>
      <c r="O45" s="198"/>
    </row>
    <row r="46" spans="1:15" ht="31.5" x14ac:dyDescent="0.25">
      <c r="A46" s="204" t="s">
        <v>232</v>
      </c>
      <c r="B46" s="136" t="s">
        <v>38</v>
      </c>
      <c r="C46" s="134" t="s">
        <v>0</v>
      </c>
      <c r="D46" s="134">
        <v>9.9900000000000003E-2</v>
      </c>
      <c r="E46" s="203"/>
      <c r="F46" s="144"/>
      <c r="G46" s="145"/>
      <c r="H46" s="144"/>
      <c r="I46" s="144">
        <v>46149.036700000004</v>
      </c>
      <c r="J46" s="144"/>
      <c r="K46" s="144"/>
      <c r="L46" s="144">
        <f t="shared" si="15"/>
        <v>8.2200000000000006</v>
      </c>
      <c r="M46" s="144">
        <f t="shared" si="16"/>
        <v>4610.2887663300007</v>
      </c>
      <c r="N46" s="146">
        <f t="shared" si="14"/>
        <v>560.8623803321168</v>
      </c>
      <c r="O46" s="198"/>
    </row>
    <row r="47" spans="1:15" ht="31.5" x14ac:dyDescent="0.25">
      <c r="A47" s="204" t="s">
        <v>233</v>
      </c>
      <c r="B47" s="136" t="s">
        <v>39</v>
      </c>
      <c r="C47" s="134" t="s">
        <v>0</v>
      </c>
      <c r="D47" s="134">
        <v>6.0000000000000001E-3</v>
      </c>
      <c r="E47" s="203"/>
      <c r="F47" s="144"/>
      <c r="G47" s="145"/>
      <c r="H47" s="144"/>
      <c r="I47" s="144">
        <v>68369.704000000012</v>
      </c>
      <c r="J47" s="144"/>
      <c r="K47" s="144"/>
      <c r="L47" s="144">
        <f t="shared" si="15"/>
        <v>8.2200000000000006</v>
      </c>
      <c r="M47" s="144">
        <f t="shared" si="16"/>
        <v>410.21822400000008</v>
      </c>
      <c r="N47" s="146">
        <f>M47/L47</f>
        <v>49.904893430656941</v>
      </c>
      <c r="O47" s="198"/>
    </row>
    <row r="48" spans="1:15" x14ac:dyDescent="0.25">
      <c r="A48" s="204" t="s">
        <v>235</v>
      </c>
      <c r="B48" s="205" t="s">
        <v>236</v>
      </c>
      <c r="C48" s="134" t="s">
        <v>0</v>
      </c>
      <c r="D48" s="134">
        <v>3.5999999999999997E-2</v>
      </c>
      <c r="E48" s="137">
        <v>699.6</v>
      </c>
      <c r="F48" s="144"/>
      <c r="G48" s="145"/>
      <c r="H48" s="144"/>
      <c r="I48" s="144"/>
      <c r="J48" s="144"/>
      <c r="K48" s="144"/>
      <c r="L48" s="144">
        <f>$D$94</f>
        <v>8.2200000000000006</v>
      </c>
      <c r="M48" s="144">
        <f>D48*E48*L48</f>
        <v>207.025632</v>
      </c>
      <c r="N48" s="146">
        <f t="shared" si="14"/>
        <v>25.185599999999997</v>
      </c>
      <c r="O48" s="198"/>
    </row>
    <row r="49" spans="1:15" ht="47.25" x14ac:dyDescent="0.25">
      <c r="A49" s="135" t="str">
        <f>A48&amp;"_03-21-01-030"</f>
        <v>01.4.01.03-0153_03-21-01-030</v>
      </c>
      <c r="B49" s="136" t="s">
        <v>181</v>
      </c>
      <c r="C49" s="147" t="s">
        <v>182</v>
      </c>
      <c r="D49" s="147">
        <v>-7.4999999999999997E-3</v>
      </c>
      <c r="E49" s="137">
        <v>19.29</v>
      </c>
      <c r="F49" s="144"/>
      <c r="G49" s="145"/>
      <c r="H49" s="144"/>
      <c r="I49" s="144"/>
      <c r="J49" s="144"/>
      <c r="K49" s="144"/>
      <c r="L49" s="202">
        <f>$D$98</f>
        <v>13.18</v>
      </c>
      <c r="M49" s="144">
        <f>D49*E49*L49</f>
        <v>-1.9068164999999999</v>
      </c>
      <c r="N49" s="146">
        <f>M49/L48</f>
        <v>-0.23197281021897809</v>
      </c>
      <c r="O49" s="198"/>
    </row>
    <row r="50" spans="1:15" ht="47.25" x14ac:dyDescent="0.25">
      <c r="A50" s="135" t="str">
        <f>A48&amp;"_03-21-01-180"</f>
        <v>01.4.01.03-0153_03-21-01-180</v>
      </c>
      <c r="B50" s="136" t="s">
        <v>183</v>
      </c>
      <c r="C50" s="147" t="s">
        <v>182</v>
      </c>
      <c r="D50" s="147">
        <v>7.4999999999999997E-3</v>
      </c>
      <c r="E50" s="137">
        <v>78.34</v>
      </c>
      <c r="F50" s="144"/>
      <c r="G50" s="145"/>
      <c r="H50" s="144"/>
      <c r="I50" s="144"/>
      <c r="J50" s="144"/>
      <c r="K50" s="144"/>
      <c r="L50" s="202">
        <f>$D$98</f>
        <v>13.18</v>
      </c>
      <c r="M50" s="144">
        <f>D50*E50*L50</f>
        <v>7.7439090000000004</v>
      </c>
      <c r="N50" s="146">
        <f>M50/L48</f>
        <v>0.94208138686131382</v>
      </c>
      <c r="O50" s="198"/>
    </row>
    <row r="51" spans="1:15" ht="31.5" x14ac:dyDescent="0.25">
      <c r="A51" s="135" t="s">
        <v>188</v>
      </c>
      <c r="B51" s="136" t="s">
        <v>184</v>
      </c>
      <c r="C51" s="147" t="s">
        <v>0</v>
      </c>
      <c r="D51" s="147">
        <v>1.14E-2</v>
      </c>
      <c r="E51" s="137"/>
      <c r="F51" s="144"/>
      <c r="G51" s="145"/>
      <c r="H51" s="144"/>
      <c r="I51" s="144">
        <v>70000</v>
      </c>
      <c r="J51" s="144"/>
      <c r="K51" s="144"/>
      <c r="L51" s="144">
        <f>$D$94</f>
        <v>8.2200000000000006</v>
      </c>
      <c r="M51" s="144">
        <f>D51*I51</f>
        <v>798</v>
      </c>
      <c r="N51" s="146">
        <f>M51/L51</f>
        <v>97.080291970802918</v>
      </c>
      <c r="O51" s="198"/>
    </row>
    <row r="52" spans="1:15" s="117" customFormat="1" x14ac:dyDescent="0.25">
      <c r="A52" s="140"/>
      <c r="B52" s="141" t="s">
        <v>70</v>
      </c>
      <c r="C52" s="139"/>
      <c r="D52" s="139"/>
      <c r="E52" s="142"/>
      <c r="F52" s="142"/>
      <c r="G52" s="143"/>
      <c r="H52" s="142"/>
      <c r="I52" s="142"/>
      <c r="J52" s="142"/>
      <c r="K52" s="142"/>
      <c r="L52" s="142"/>
      <c r="M52" s="142">
        <f>SUM(M39:M51)</f>
        <v>15310.363561590002</v>
      </c>
      <c r="N52" s="142">
        <f>SUM(N39:N51)</f>
        <v>1862.5746425291968</v>
      </c>
      <c r="O52" s="200"/>
    </row>
    <row r="53" spans="1:15" s="161" customFormat="1" x14ac:dyDescent="0.25">
      <c r="A53" s="183"/>
      <c r="B53" s="184" t="s">
        <v>176</v>
      </c>
      <c r="C53" s="182"/>
      <c r="D53" s="182"/>
      <c r="E53" s="185"/>
      <c r="F53" s="185"/>
      <c r="G53" s="186"/>
      <c r="H53" s="185"/>
      <c r="I53" s="185"/>
      <c r="J53" s="185"/>
      <c r="K53" s="185"/>
      <c r="L53" s="185"/>
      <c r="M53" s="185">
        <f>M54+M55+M57</f>
        <v>61334.586530948887</v>
      </c>
      <c r="N53" s="185">
        <f>N54+N55+N57</f>
        <v>4938.3580014868603</v>
      </c>
      <c r="O53" s="201"/>
    </row>
    <row r="54" spans="1:15" s="161" customFormat="1" x14ac:dyDescent="0.25">
      <c r="A54" s="162"/>
      <c r="B54" s="118" t="s">
        <v>177</v>
      </c>
      <c r="C54" s="120"/>
      <c r="D54" s="120"/>
      <c r="E54" s="122"/>
      <c r="F54" s="122"/>
      <c r="G54" s="160"/>
      <c r="H54" s="122"/>
      <c r="I54" s="122"/>
      <c r="J54" s="122"/>
      <c r="K54" s="122"/>
      <c r="L54" s="122"/>
      <c r="M54" s="122">
        <f>M17</f>
        <v>10093.8469</v>
      </c>
      <c r="N54" s="122">
        <f>N17</f>
        <v>273.10191829004327</v>
      </c>
      <c r="O54" s="201"/>
    </row>
    <row r="55" spans="1:15" s="161" customFormat="1" ht="31.5" x14ac:dyDescent="0.25">
      <c r="A55" s="162"/>
      <c r="B55" s="118" t="s">
        <v>204</v>
      </c>
      <c r="C55" s="120"/>
      <c r="D55" s="120"/>
      <c r="E55" s="122"/>
      <c r="F55" s="122"/>
      <c r="G55" s="160"/>
      <c r="H55" s="122"/>
      <c r="I55" s="122"/>
      <c r="J55" s="122"/>
      <c r="K55" s="122"/>
      <c r="L55" s="122"/>
      <c r="M55" s="122">
        <f>M37</f>
        <v>35930.376069358892</v>
      </c>
      <c r="N55" s="122">
        <f>N37</f>
        <v>2802.6814406676208</v>
      </c>
      <c r="O55" s="201"/>
    </row>
    <row r="56" spans="1:15" s="161" customFormat="1" x14ac:dyDescent="0.25">
      <c r="A56" s="162"/>
      <c r="B56" s="194" t="s">
        <v>197</v>
      </c>
      <c r="C56" s="120"/>
      <c r="D56" s="120"/>
      <c r="E56" s="122"/>
      <c r="F56" s="122"/>
      <c r="G56" s="160"/>
      <c r="H56" s="122"/>
      <c r="I56" s="122"/>
      <c r="J56" s="122"/>
      <c r="K56" s="122"/>
      <c r="L56" s="122"/>
      <c r="M56" s="122">
        <f>M38</f>
        <v>4706.5569599999999</v>
      </c>
      <c r="N56" s="122">
        <f>N38</f>
        <v>127.3419090909091</v>
      </c>
      <c r="O56" s="201"/>
    </row>
    <row r="57" spans="1:15" s="161" customFormat="1" ht="31.5" x14ac:dyDescent="0.25">
      <c r="A57" s="162"/>
      <c r="B57" s="118" t="s">
        <v>196</v>
      </c>
      <c r="C57" s="120"/>
      <c r="D57" s="120"/>
      <c r="E57" s="122"/>
      <c r="F57" s="122"/>
      <c r="G57" s="160"/>
      <c r="H57" s="122"/>
      <c r="I57" s="122"/>
      <c r="J57" s="122"/>
      <c r="K57" s="122"/>
      <c r="L57" s="122"/>
      <c r="M57" s="122">
        <f>M52</f>
        <v>15310.363561590002</v>
      </c>
      <c r="N57" s="122">
        <f>N52</f>
        <v>1862.5746425291968</v>
      </c>
      <c r="O57" s="201"/>
    </row>
    <row r="58" spans="1:15" x14ac:dyDescent="0.25">
      <c r="A58" s="155"/>
      <c r="B58" s="156"/>
      <c r="C58" s="157"/>
      <c r="D58" s="155"/>
      <c r="E58" s="155"/>
      <c r="F58" s="172"/>
      <c r="G58" s="158"/>
      <c r="H58" s="159"/>
      <c r="I58" s="158"/>
      <c r="J58" s="158"/>
      <c r="K58" s="158"/>
      <c r="L58" s="158"/>
      <c r="M58" s="158"/>
      <c r="N58" s="158"/>
      <c r="O58" s="172"/>
    </row>
    <row r="59" spans="1:15" x14ac:dyDescent="0.25">
      <c r="A59" s="155" t="s">
        <v>178</v>
      </c>
      <c r="B59" s="156"/>
      <c r="C59" s="157"/>
      <c r="D59" s="155"/>
      <c r="E59" s="155"/>
      <c r="F59" s="172"/>
      <c r="G59" s="158"/>
      <c r="H59" s="159"/>
      <c r="I59" s="158"/>
      <c r="J59" s="158"/>
      <c r="K59" s="158"/>
      <c r="L59" s="158"/>
      <c r="M59" s="158"/>
      <c r="N59" s="158"/>
      <c r="O59" s="172"/>
    </row>
    <row r="60" spans="1:15" ht="15.75" customHeight="1" x14ac:dyDescent="0.25">
      <c r="A60" s="3">
        <v>1</v>
      </c>
      <c r="B60" s="206" t="s">
        <v>209</v>
      </c>
      <c r="C60" s="206"/>
      <c r="D60" s="206"/>
      <c r="E60" s="206"/>
      <c r="F60" s="206"/>
      <c r="G60" s="206"/>
      <c r="H60" s="206"/>
      <c r="I60" s="206"/>
      <c r="J60" s="206"/>
      <c r="K60" s="206"/>
      <c r="L60" s="206"/>
      <c r="M60" s="206"/>
      <c r="N60" s="206"/>
      <c r="O60" s="173"/>
    </row>
    <row r="61" spans="1:15" x14ac:dyDescent="0.25">
      <c r="A61" s="3">
        <v>2</v>
      </c>
      <c r="B61" s="206" t="s">
        <v>210</v>
      </c>
      <c r="C61" s="206"/>
      <c r="D61" s="206"/>
      <c r="E61" s="206"/>
      <c r="F61" s="206"/>
      <c r="G61" s="206"/>
      <c r="H61" s="206"/>
      <c r="I61" s="206"/>
      <c r="J61" s="206"/>
      <c r="K61" s="206"/>
      <c r="L61" s="206"/>
      <c r="M61" s="206"/>
      <c r="N61" s="206"/>
      <c r="O61" s="173"/>
    </row>
    <row r="62" spans="1:15" ht="15.75" customHeight="1" x14ac:dyDescent="0.25">
      <c r="A62" s="3">
        <v>3</v>
      </c>
      <c r="B62" s="206" t="s">
        <v>211</v>
      </c>
      <c r="C62" s="206"/>
      <c r="D62" s="206"/>
      <c r="E62" s="206"/>
      <c r="F62" s="206"/>
      <c r="G62" s="206"/>
      <c r="H62" s="206"/>
      <c r="I62" s="206"/>
      <c r="J62" s="206"/>
      <c r="K62" s="206"/>
      <c r="L62" s="206"/>
      <c r="M62" s="206"/>
      <c r="N62" s="206"/>
      <c r="O62" s="173"/>
    </row>
    <row r="63" spans="1:15" ht="15.75" customHeight="1" x14ac:dyDescent="0.25">
      <c r="A63" s="3">
        <v>4</v>
      </c>
      <c r="B63" s="206" t="s">
        <v>212</v>
      </c>
      <c r="C63" s="206"/>
      <c r="D63" s="206"/>
      <c r="E63" s="206"/>
      <c r="F63" s="206"/>
      <c r="G63" s="206"/>
      <c r="H63" s="206"/>
      <c r="I63" s="206"/>
      <c r="J63" s="206"/>
      <c r="K63" s="206"/>
      <c r="L63" s="206"/>
      <c r="M63" s="206"/>
      <c r="N63" s="206"/>
      <c r="O63" s="173"/>
    </row>
    <row r="64" spans="1:15" ht="15.75" customHeight="1" x14ac:dyDescent="0.25">
      <c r="A64" s="3">
        <v>5</v>
      </c>
      <c r="B64" s="206" t="s">
        <v>213</v>
      </c>
      <c r="C64" s="206"/>
      <c r="D64" s="206"/>
      <c r="E64" s="206"/>
      <c r="F64" s="206"/>
      <c r="G64" s="206"/>
      <c r="H64" s="206"/>
      <c r="I64" s="206"/>
      <c r="J64" s="206"/>
      <c r="K64" s="206"/>
      <c r="L64" s="206"/>
      <c r="M64" s="206"/>
      <c r="N64" s="206"/>
      <c r="O64" s="173"/>
    </row>
    <row r="65" spans="1:15" ht="15.75" customHeight="1" x14ac:dyDescent="0.25">
      <c r="A65" s="3">
        <v>6</v>
      </c>
      <c r="B65" s="206" t="s">
        <v>214</v>
      </c>
      <c r="C65" s="206"/>
      <c r="D65" s="206"/>
      <c r="E65" s="206"/>
      <c r="F65" s="206"/>
      <c r="G65" s="206"/>
      <c r="H65" s="206"/>
      <c r="I65" s="206"/>
      <c r="J65" s="206"/>
      <c r="K65" s="206"/>
      <c r="L65" s="206"/>
      <c r="M65" s="206"/>
      <c r="N65" s="206"/>
      <c r="O65" s="173"/>
    </row>
    <row r="66" spans="1:15" ht="15.75" customHeight="1" x14ac:dyDescent="0.25">
      <c r="B66" s="206" t="s">
        <v>201</v>
      </c>
      <c r="C66" s="206"/>
      <c r="D66" s="206"/>
      <c r="E66" s="206"/>
      <c r="F66" s="206"/>
      <c r="G66" s="206"/>
      <c r="H66" s="206"/>
      <c r="I66" s="206"/>
      <c r="J66" s="206"/>
      <c r="K66" s="206"/>
      <c r="L66" s="206"/>
      <c r="M66" s="206"/>
      <c r="N66" s="206"/>
      <c r="O66" s="173"/>
    </row>
    <row r="67" spans="1:15" ht="15.75" customHeight="1" x14ac:dyDescent="0.25">
      <c r="B67" s="206" t="s">
        <v>202</v>
      </c>
      <c r="C67" s="206"/>
      <c r="D67" s="206"/>
      <c r="E67" s="206"/>
      <c r="F67" s="206"/>
      <c r="G67" s="206"/>
      <c r="H67" s="206"/>
      <c r="I67" s="206"/>
      <c r="J67" s="206"/>
      <c r="K67" s="206"/>
      <c r="L67" s="206"/>
      <c r="M67" s="206"/>
      <c r="N67" s="206"/>
      <c r="O67" s="173"/>
    </row>
    <row r="68" spans="1:15" ht="48.75" customHeight="1" x14ac:dyDescent="0.25">
      <c r="A68" s="3">
        <v>7</v>
      </c>
      <c r="B68" s="207" t="s">
        <v>207</v>
      </c>
      <c r="C68" s="207"/>
      <c r="D68" s="207"/>
      <c r="E68" s="207"/>
      <c r="F68" s="207"/>
      <c r="G68" s="207"/>
      <c r="H68" s="207"/>
      <c r="I68" s="207"/>
      <c r="J68" s="207"/>
      <c r="K68" s="207"/>
      <c r="L68" s="207"/>
      <c r="M68" s="207"/>
      <c r="N68" s="207"/>
      <c r="O68" s="173"/>
    </row>
    <row r="69" spans="1:15" ht="15.75" customHeight="1" x14ac:dyDescent="0.25">
      <c r="A69" s="3">
        <v>8</v>
      </c>
      <c r="B69" s="206" t="s">
        <v>215</v>
      </c>
      <c r="C69" s="206"/>
      <c r="D69" s="206"/>
      <c r="E69" s="206"/>
      <c r="F69" s="206"/>
      <c r="G69" s="206"/>
      <c r="H69" s="206"/>
      <c r="I69" s="206"/>
      <c r="J69" s="206"/>
      <c r="K69" s="206"/>
      <c r="L69" s="206"/>
      <c r="M69" s="206"/>
      <c r="N69" s="206"/>
      <c r="O69" s="173"/>
    </row>
    <row r="70" spans="1:15" ht="15.75" customHeight="1" x14ac:dyDescent="0.25">
      <c r="A70" s="3">
        <v>9</v>
      </c>
      <c r="B70" s="206" t="s">
        <v>216</v>
      </c>
      <c r="C70" s="206"/>
      <c r="D70" s="206"/>
      <c r="E70" s="206"/>
      <c r="F70" s="206"/>
      <c r="G70" s="206"/>
      <c r="H70" s="206"/>
      <c r="I70" s="206"/>
      <c r="J70" s="206"/>
      <c r="K70" s="206"/>
      <c r="L70" s="206"/>
      <c r="M70" s="206"/>
      <c r="N70" s="206"/>
      <c r="O70" s="173"/>
    </row>
    <row r="71" spans="1:15" ht="35.25" customHeight="1" x14ac:dyDescent="0.25">
      <c r="B71" s="206" t="s">
        <v>193</v>
      </c>
      <c r="C71" s="206"/>
      <c r="D71" s="206"/>
      <c r="E71" s="206"/>
      <c r="F71" s="206"/>
      <c r="G71" s="206"/>
      <c r="H71" s="206"/>
      <c r="I71" s="206"/>
      <c r="J71" s="206"/>
      <c r="K71" s="206"/>
      <c r="L71" s="206"/>
      <c r="M71" s="206"/>
      <c r="N71" s="206"/>
      <c r="O71" s="173"/>
    </row>
    <row r="72" spans="1:15" ht="51" customHeight="1" x14ac:dyDescent="0.25">
      <c r="A72" s="3">
        <v>10</v>
      </c>
      <c r="B72" s="207" t="s">
        <v>217</v>
      </c>
      <c r="C72" s="207"/>
      <c r="D72" s="207"/>
      <c r="E72" s="207"/>
      <c r="F72" s="207"/>
      <c r="G72" s="207"/>
      <c r="H72" s="207"/>
      <c r="I72" s="207"/>
      <c r="J72" s="207"/>
      <c r="K72" s="207"/>
      <c r="L72" s="207"/>
      <c r="M72" s="207"/>
      <c r="N72" s="207"/>
      <c r="O72" s="192"/>
    </row>
    <row r="73" spans="1:15" ht="31.5" customHeight="1" x14ac:dyDescent="0.25">
      <c r="B73" s="207" t="s">
        <v>218</v>
      </c>
      <c r="C73" s="207"/>
      <c r="D73" s="207"/>
      <c r="E73" s="207"/>
      <c r="F73" s="207"/>
      <c r="G73" s="207"/>
      <c r="H73" s="207"/>
      <c r="I73" s="207"/>
      <c r="J73" s="207"/>
      <c r="K73" s="207"/>
      <c r="L73" s="207"/>
      <c r="M73" s="207"/>
      <c r="N73" s="207"/>
      <c r="O73" s="192"/>
    </row>
    <row r="74" spans="1:15" ht="30" customHeight="1" x14ac:dyDescent="0.25">
      <c r="B74" s="207" t="s">
        <v>219</v>
      </c>
      <c r="C74" s="207"/>
      <c r="D74" s="207"/>
      <c r="E74" s="207"/>
      <c r="F74" s="207"/>
      <c r="G74" s="207"/>
      <c r="H74" s="207"/>
      <c r="I74" s="207"/>
      <c r="J74" s="207"/>
      <c r="K74" s="207"/>
      <c r="L74" s="207"/>
      <c r="M74" s="207"/>
      <c r="N74" s="207"/>
      <c r="O74" s="192"/>
    </row>
    <row r="75" spans="1:15" ht="30.75" customHeight="1" x14ac:dyDescent="0.25">
      <c r="B75" s="207" t="s">
        <v>220</v>
      </c>
      <c r="C75" s="207"/>
      <c r="D75" s="207"/>
      <c r="E75" s="207"/>
      <c r="F75" s="207"/>
      <c r="G75" s="207"/>
      <c r="H75" s="207"/>
      <c r="I75" s="207"/>
      <c r="J75" s="207"/>
      <c r="K75" s="207"/>
      <c r="L75" s="207"/>
      <c r="M75" s="207"/>
      <c r="N75" s="207"/>
      <c r="O75" s="192"/>
    </row>
    <row r="76" spans="1:15" ht="29.25" customHeight="1" x14ac:dyDescent="0.25">
      <c r="B76" s="207" t="s">
        <v>221</v>
      </c>
      <c r="C76" s="207"/>
      <c r="D76" s="207"/>
      <c r="E76" s="207"/>
      <c r="F76" s="207"/>
      <c r="G76" s="207"/>
      <c r="H76" s="207"/>
      <c r="I76" s="207"/>
      <c r="J76" s="207"/>
      <c r="K76" s="207"/>
      <c r="L76" s="207"/>
      <c r="M76" s="207"/>
      <c r="N76" s="207"/>
      <c r="O76" s="192"/>
    </row>
    <row r="77" spans="1:15" ht="15.75" customHeight="1" x14ac:dyDescent="0.25">
      <c r="B77" s="207" t="s">
        <v>222</v>
      </c>
      <c r="C77" s="207"/>
      <c r="D77" s="207"/>
      <c r="E77" s="207"/>
      <c r="F77" s="207"/>
      <c r="G77" s="207"/>
      <c r="H77" s="207"/>
      <c r="I77" s="207"/>
      <c r="J77" s="207"/>
      <c r="K77" s="207"/>
      <c r="L77" s="207"/>
      <c r="M77" s="207"/>
      <c r="N77" s="207"/>
      <c r="O77" s="192"/>
    </row>
    <row r="78" spans="1:15" x14ac:dyDescent="0.25">
      <c r="A78" s="3">
        <v>11</v>
      </c>
      <c r="B78" s="207" t="s">
        <v>223</v>
      </c>
      <c r="C78" s="207"/>
      <c r="D78" s="207"/>
      <c r="E78" s="207"/>
      <c r="F78" s="207"/>
      <c r="G78" s="207"/>
      <c r="H78" s="207"/>
      <c r="I78" s="207"/>
      <c r="J78" s="207"/>
      <c r="K78" s="207"/>
      <c r="L78" s="207"/>
      <c r="M78" s="207"/>
      <c r="N78" s="207"/>
      <c r="O78" s="192"/>
    </row>
    <row r="79" spans="1:15" ht="28.5" customHeight="1" x14ac:dyDescent="0.25">
      <c r="B79" s="207" t="s">
        <v>224</v>
      </c>
      <c r="C79" s="207"/>
      <c r="D79" s="207"/>
      <c r="E79" s="207"/>
      <c r="F79" s="207"/>
      <c r="G79" s="207"/>
      <c r="H79" s="207"/>
      <c r="I79" s="207"/>
      <c r="J79" s="207"/>
      <c r="K79" s="207"/>
      <c r="L79" s="207"/>
      <c r="M79" s="207"/>
      <c r="N79" s="207"/>
      <c r="O79" s="192"/>
    </row>
    <row r="80" spans="1:15" x14ac:dyDescent="0.25">
      <c r="B80" s="207" t="s">
        <v>225</v>
      </c>
      <c r="C80" s="207"/>
      <c r="D80" s="207"/>
      <c r="E80" s="207"/>
      <c r="F80" s="207"/>
      <c r="G80" s="207"/>
      <c r="H80" s="207"/>
      <c r="I80" s="207"/>
      <c r="J80" s="207"/>
      <c r="K80" s="207"/>
      <c r="L80" s="207"/>
      <c r="M80" s="207"/>
      <c r="N80" s="207"/>
      <c r="O80" s="192"/>
    </row>
    <row r="81" spans="1:15" ht="15.75" customHeight="1" x14ac:dyDescent="0.25">
      <c r="B81" s="207" t="s">
        <v>226</v>
      </c>
      <c r="C81" s="207"/>
      <c r="D81" s="207"/>
      <c r="E81" s="207"/>
      <c r="F81" s="207"/>
      <c r="G81" s="207"/>
      <c r="H81" s="207"/>
      <c r="I81" s="207"/>
      <c r="J81" s="207"/>
      <c r="K81" s="207"/>
      <c r="L81" s="207"/>
      <c r="M81" s="207"/>
      <c r="N81" s="207"/>
      <c r="O81" s="192"/>
    </row>
    <row r="82" spans="1:15" ht="31.5" customHeight="1" x14ac:dyDescent="0.25">
      <c r="A82" s="3">
        <v>12</v>
      </c>
      <c r="B82" s="206" t="s">
        <v>227</v>
      </c>
      <c r="C82" s="206"/>
      <c r="D82" s="206"/>
      <c r="E82" s="206"/>
      <c r="F82" s="206"/>
      <c r="G82" s="206"/>
      <c r="H82" s="206"/>
      <c r="I82" s="206"/>
      <c r="J82" s="206"/>
      <c r="K82" s="206"/>
      <c r="L82" s="206"/>
      <c r="M82" s="206"/>
      <c r="N82" s="206"/>
      <c r="O82" s="173"/>
    </row>
    <row r="83" spans="1:15" x14ac:dyDescent="0.25">
      <c r="B83" s="13"/>
      <c r="O83" s="171"/>
    </row>
    <row r="84" spans="1:15" ht="15.75" customHeight="1" x14ac:dyDescent="0.25">
      <c r="A84" s="3" t="s">
        <v>46</v>
      </c>
      <c r="B84" s="206" t="str">
        <f>"Письмо Минстроя России от 7 декабря 2022 г. N 65739-ИФ/09, IV квартал 2022 года, приложение № 1.
Индексы к ФЕР-2001 по элементам прямых затрат для субъекта РФ Московская область:"</f>
        <v>Письмо Минстроя России от 7 декабря 2022 г. N 65739-ИФ/09, IV квартал 2022 года, приложение № 1.
Индексы к ФЕР-2001 по элементам прямых затрат для субъекта РФ Московская область:</v>
      </c>
      <c r="C84" s="206"/>
      <c r="D84" s="206"/>
      <c r="E84" s="206"/>
      <c r="F84" s="206"/>
      <c r="G84" s="206"/>
      <c r="H84" s="206"/>
      <c r="I84" s="206"/>
      <c r="J84" s="206"/>
      <c r="K84" s="206"/>
      <c r="L84" s="206"/>
      <c r="M84" s="206"/>
      <c r="N84" s="206"/>
      <c r="O84" s="173"/>
    </row>
    <row r="85" spans="1:15" x14ac:dyDescent="0.25">
      <c r="B85" s="206"/>
      <c r="C85" s="206"/>
      <c r="D85" s="206"/>
      <c r="E85" s="206"/>
      <c r="F85" s="206"/>
      <c r="G85" s="206"/>
      <c r="H85" s="206"/>
      <c r="I85" s="206"/>
      <c r="J85" s="206"/>
      <c r="K85" s="206"/>
      <c r="L85" s="206"/>
      <c r="M85" s="206"/>
      <c r="N85" s="206"/>
      <c r="O85" s="173"/>
    </row>
    <row r="86" spans="1:15" x14ac:dyDescent="0.25">
      <c r="B86" s="5" t="s">
        <v>179</v>
      </c>
      <c r="C86" s="5"/>
      <c r="D86" s="5"/>
      <c r="E86" s="5"/>
      <c r="F86" s="5"/>
      <c r="G86" s="5"/>
      <c r="H86" s="5"/>
      <c r="I86" s="5"/>
      <c r="J86" s="5"/>
      <c r="K86" s="5"/>
      <c r="L86" s="5"/>
      <c r="M86" s="5"/>
      <c r="N86" s="5"/>
      <c r="O86" s="173"/>
    </row>
    <row r="87" spans="1:15" x14ac:dyDescent="0.25">
      <c r="B87" s="214" t="s">
        <v>72</v>
      </c>
      <c r="C87" s="214"/>
      <c r="D87" s="115">
        <v>41.8</v>
      </c>
      <c r="E87" s="5"/>
      <c r="F87" s="173"/>
      <c r="G87" s="5"/>
      <c r="H87" s="16"/>
      <c r="I87" s="5"/>
      <c r="J87" s="5"/>
      <c r="K87" s="5"/>
      <c r="L87" s="5"/>
      <c r="M87" s="5"/>
      <c r="N87" s="5"/>
      <c r="O87" s="198"/>
    </row>
    <row r="88" spans="1:15" x14ac:dyDescent="0.25">
      <c r="B88" s="214" t="s">
        <v>73</v>
      </c>
      <c r="C88" s="214"/>
      <c r="D88" s="115">
        <v>7.92</v>
      </c>
      <c r="E88" s="5"/>
      <c r="F88" s="173"/>
      <c r="G88" s="5"/>
      <c r="H88" s="16"/>
      <c r="I88" s="5"/>
      <c r="J88" s="5"/>
      <c r="K88" s="5"/>
      <c r="L88" s="5"/>
      <c r="M88" s="5"/>
      <c r="N88" s="5"/>
      <c r="O88" s="198"/>
    </row>
    <row r="89" spans="1:15" x14ac:dyDescent="0.25">
      <c r="B89" s="211" t="s">
        <v>74</v>
      </c>
      <c r="C89" s="211"/>
      <c r="D89" s="187">
        <v>13.05</v>
      </c>
      <c r="E89" s="5"/>
      <c r="F89" s="173"/>
      <c r="G89" s="5"/>
      <c r="H89" s="16"/>
      <c r="I89" s="5"/>
      <c r="J89" s="5"/>
      <c r="K89" s="5"/>
      <c r="L89" s="5"/>
      <c r="M89" s="5"/>
      <c r="N89" s="5"/>
      <c r="O89" s="198"/>
    </row>
    <row r="90" spans="1:15" ht="15.75" customHeight="1" x14ac:dyDescent="0.25">
      <c r="A90" s="3" t="s">
        <v>71</v>
      </c>
      <c r="B90" s="206" t="str">
        <f>"Письмо Минстроя России от 27 ноября 2022 г. N 63135-ИФ/09, IV квартал 2022 года, приложение № 2.
Индексы к ФЕР-2001 по элементам прямых затрат для субъекта РФ "&amp;C11&amp;":"</f>
        <v>Письмо Минстроя России от 27 ноября 2022 г. N 63135-ИФ/09, IV квартал 2022 года, приложение № 2.
Индексы к ФЕР-2001 по элементам прямых затрат для субъекта РФ Новосибирская область (1 зона):</v>
      </c>
      <c r="C90" s="206"/>
      <c r="D90" s="206"/>
      <c r="E90" s="206"/>
      <c r="F90" s="206"/>
      <c r="G90" s="206"/>
      <c r="H90" s="206"/>
      <c r="I90" s="206"/>
      <c r="J90" s="206"/>
      <c r="K90" s="206"/>
      <c r="L90" s="206"/>
      <c r="M90" s="206"/>
      <c r="N90" s="206"/>
      <c r="O90" s="173"/>
    </row>
    <row r="91" spans="1:15" x14ac:dyDescent="0.25">
      <c r="B91" s="206"/>
      <c r="C91" s="206"/>
      <c r="D91" s="206"/>
      <c r="E91" s="206"/>
      <c r="F91" s="206"/>
      <c r="G91" s="206"/>
      <c r="H91" s="206"/>
      <c r="I91" s="206"/>
      <c r="J91" s="206"/>
      <c r="K91" s="206"/>
      <c r="L91" s="206"/>
      <c r="M91" s="206"/>
      <c r="N91" s="206"/>
      <c r="O91" s="173"/>
    </row>
    <row r="92" spans="1:15" x14ac:dyDescent="0.25">
      <c r="B92" s="5" t="s">
        <v>179</v>
      </c>
      <c r="C92" s="5"/>
      <c r="D92" s="5"/>
      <c r="E92" s="5"/>
      <c r="F92" s="5"/>
      <c r="G92" s="5"/>
      <c r="H92" s="5"/>
      <c r="I92" s="5"/>
      <c r="J92" s="5"/>
      <c r="K92" s="5"/>
      <c r="L92" s="5"/>
      <c r="M92" s="5"/>
      <c r="N92" s="5"/>
      <c r="O92" s="173"/>
    </row>
    <row r="93" spans="1:15" x14ac:dyDescent="0.25">
      <c r="B93" s="211" t="s">
        <v>72</v>
      </c>
      <c r="C93" s="211"/>
      <c r="D93" s="187">
        <v>36.96</v>
      </c>
      <c r="E93" s="5"/>
      <c r="F93" s="173"/>
      <c r="G93" s="5"/>
      <c r="H93" s="16"/>
      <c r="I93" s="5"/>
      <c r="J93" s="5"/>
      <c r="K93" s="5"/>
      <c r="L93" s="5"/>
      <c r="M93" s="5"/>
      <c r="N93" s="5"/>
      <c r="O93" s="198"/>
    </row>
    <row r="94" spans="1:15" x14ac:dyDescent="0.25">
      <c r="B94" s="211" t="s">
        <v>73</v>
      </c>
      <c r="C94" s="211"/>
      <c r="D94" s="187">
        <v>8.2200000000000006</v>
      </c>
      <c r="E94" s="5"/>
      <c r="F94" s="173"/>
      <c r="G94" s="5"/>
      <c r="H94" s="16"/>
      <c r="I94" s="5"/>
      <c r="J94" s="5"/>
      <c r="K94" s="5"/>
      <c r="L94" s="5"/>
      <c r="M94" s="5"/>
      <c r="N94" s="5"/>
      <c r="O94" s="198"/>
    </row>
    <row r="95" spans="1:15" x14ac:dyDescent="0.25">
      <c r="B95" s="211" t="s">
        <v>74</v>
      </c>
      <c r="C95" s="211"/>
      <c r="D95" s="187">
        <v>12.82</v>
      </c>
      <c r="E95" s="5"/>
      <c r="F95" s="173"/>
      <c r="G95" s="5"/>
      <c r="H95" s="16"/>
      <c r="I95" s="5"/>
      <c r="J95" s="5"/>
      <c r="K95" s="5"/>
      <c r="L95" s="5"/>
      <c r="M95" s="5"/>
      <c r="N95" s="5"/>
      <c r="O95" s="198"/>
    </row>
    <row r="96" spans="1:15" ht="15.75" customHeight="1" x14ac:dyDescent="0.25">
      <c r="B96" s="206" t="str">
        <f>"Письмо Минстроя России от 27 ноября 2022 г. N 63135-ИФ/09, IV квартал 2022 года, приложение № 4.
Индексы изменения сметных цен услуг на перевозку грузов для сроительсва автомобильным транспортом для субъекта РФ "&amp;C11&amp;":"</f>
        <v>Письмо Минстроя России от 27 ноября 2022 г. N 63135-ИФ/09, IV квартал 2022 года, приложение № 4.
Индексы изменения сметных цен услуг на перевозку грузов для сроительсва автомобильным транспортом для субъекта РФ Новосибирская область (1 зона):</v>
      </c>
      <c r="C96" s="206"/>
      <c r="D96" s="206"/>
      <c r="E96" s="206"/>
      <c r="F96" s="206"/>
      <c r="G96" s="206"/>
      <c r="H96" s="206"/>
      <c r="I96" s="206"/>
      <c r="J96" s="206"/>
      <c r="K96" s="206"/>
      <c r="L96" s="206"/>
      <c r="M96" s="206"/>
      <c r="N96" s="206"/>
      <c r="O96" s="173"/>
    </row>
    <row r="97" spans="1:15" x14ac:dyDescent="0.25">
      <c r="B97" s="206"/>
      <c r="C97" s="206"/>
      <c r="D97" s="206"/>
      <c r="E97" s="206"/>
      <c r="F97" s="206"/>
      <c r="G97" s="206"/>
      <c r="H97" s="206"/>
      <c r="I97" s="206"/>
      <c r="J97" s="206"/>
      <c r="K97" s="206"/>
      <c r="L97" s="206"/>
      <c r="M97" s="206"/>
      <c r="N97" s="206"/>
      <c r="O97" s="173"/>
    </row>
    <row r="98" spans="1:15" x14ac:dyDescent="0.25">
      <c r="B98" s="188" t="s">
        <v>189</v>
      </c>
      <c r="C98" s="189"/>
      <c r="D98" s="190">
        <v>13.18</v>
      </c>
      <c r="O98" s="171"/>
    </row>
    <row r="99" spans="1:15" ht="33.75" customHeight="1" x14ac:dyDescent="0.25">
      <c r="A99" s="191" t="s">
        <v>191</v>
      </c>
      <c r="B99" s="207" t="s">
        <v>194</v>
      </c>
      <c r="C99" s="207"/>
      <c r="D99" s="207"/>
      <c r="E99" s="207"/>
      <c r="F99" s="207"/>
      <c r="G99" s="207"/>
      <c r="H99" s="207"/>
      <c r="I99" s="207"/>
      <c r="J99" s="207"/>
      <c r="K99" s="207"/>
      <c r="L99" s="207"/>
      <c r="M99" s="207"/>
      <c r="N99" s="207"/>
      <c r="O99" s="173"/>
    </row>
    <row r="100" spans="1:15" ht="50.25" customHeight="1" x14ac:dyDescent="0.25">
      <c r="A100" s="191"/>
      <c r="B100" s="207" t="s">
        <v>228</v>
      </c>
      <c r="C100" s="207"/>
      <c r="D100" s="207"/>
      <c r="E100" s="207"/>
      <c r="F100" s="207"/>
      <c r="G100" s="207"/>
      <c r="H100" s="207"/>
      <c r="I100" s="207"/>
      <c r="J100" s="207"/>
      <c r="K100" s="207"/>
      <c r="L100" s="207"/>
      <c r="M100" s="207"/>
      <c r="N100" s="207"/>
      <c r="O100" s="173"/>
    </row>
    <row r="101" spans="1:15" ht="32.25" customHeight="1" x14ac:dyDescent="0.25">
      <c r="A101" s="191"/>
      <c r="B101" s="207" t="s">
        <v>229</v>
      </c>
      <c r="C101" s="207"/>
      <c r="D101" s="207"/>
      <c r="E101" s="207"/>
      <c r="F101" s="207"/>
      <c r="G101" s="207"/>
      <c r="H101" s="207"/>
      <c r="I101" s="207"/>
      <c r="J101" s="207"/>
      <c r="K101" s="207"/>
      <c r="L101" s="207"/>
      <c r="M101" s="207"/>
      <c r="N101" s="207"/>
      <c r="O101" s="173"/>
    </row>
    <row r="102" spans="1:15" x14ac:dyDescent="0.25">
      <c r="O102" s="171"/>
    </row>
    <row r="103" spans="1:15" x14ac:dyDescent="0.25">
      <c r="O103" s="171"/>
    </row>
    <row r="104" spans="1:15" x14ac:dyDescent="0.25">
      <c r="O104" s="171"/>
    </row>
    <row r="105" spans="1:15" x14ac:dyDescent="0.25">
      <c r="B105" s="208"/>
      <c r="C105" s="208"/>
      <c r="D105" s="208"/>
      <c r="E105" s="208"/>
      <c r="F105" s="208"/>
      <c r="G105" s="208"/>
      <c r="H105" s="208"/>
      <c r="I105" s="208"/>
      <c r="J105" s="208"/>
      <c r="K105" s="208"/>
      <c r="L105" s="208"/>
      <c r="M105" s="208"/>
      <c r="N105" s="208"/>
      <c r="O105" s="171"/>
    </row>
    <row r="106" spans="1:15" x14ac:dyDescent="0.25">
      <c r="O106" s="171"/>
    </row>
    <row r="107" spans="1:15" x14ac:dyDescent="0.25">
      <c r="O107" s="171"/>
    </row>
  </sheetData>
  <mergeCells count="48">
    <mergeCell ref="A1:N4"/>
    <mergeCell ref="L13:L14"/>
    <mergeCell ref="A13:A14"/>
    <mergeCell ref="B13:B14"/>
    <mergeCell ref="C13:C14"/>
    <mergeCell ref="D13:D14"/>
    <mergeCell ref="I13:I14"/>
    <mergeCell ref="B93:C93"/>
    <mergeCell ref="B94:C94"/>
    <mergeCell ref="B95:C95"/>
    <mergeCell ref="J13:J14"/>
    <mergeCell ref="F13:H13"/>
    <mergeCell ref="B72:N72"/>
    <mergeCell ref="K13:K14"/>
    <mergeCell ref="B88:C88"/>
    <mergeCell ref="B89:C89"/>
    <mergeCell ref="B87:C87"/>
    <mergeCell ref="B73:N73"/>
    <mergeCell ref="B74:N74"/>
    <mergeCell ref="B75:N75"/>
    <mergeCell ref="B76:N76"/>
    <mergeCell ref="B77:N77"/>
    <mergeCell ref="B78:N78"/>
    <mergeCell ref="A6:N8"/>
    <mergeCell ref="B65:N65"/>
    <mergeCell ref="B67:N67"/>
    <mergeCell ref="B66:N66"/>
    <mergeCell ref="B63:N63"/>
    <mergeCell ref="B64:N64"/>
    <mergeCell ref="B60:N60"/>
    <mergeCell ref="B61:N61"/>
    <mergeCell ref="B62:N62"/>
    <mergeCell ref="B96:N97"/>
    <mergeCell ref="B99:N99"/>
    <mergeCell ref="B100:N100"/>
    <mergeCell ref="B105:N105"/>
    <mergeCell ref="M13:N13"/>
    <mergeCell ref="B68:N68"/>
    <mergeCell ref="B69:N69"/>
    <mergeCell ref="B70:N70"/>
    <mergeCell ref="B71:N71"/>
    <mergeCell ref="B101:N101"/>
    <mergeCell ref="B80:N80"/>
    <mergeCell ref="B84:N85"/>
    <mergeCell ref="B90:N91"/>
    <mergeCell ref="B79:N79"/>
    <mergeCell ref="B81:N81"/>
    <mergeCell ref="B82:N8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
  <sheetViews>
    <sheetView workbookViewId="0">
      <selection activeCell="E13" sqref="E13"/>
    </sheetView>
  </sheetViews>
  <sheetFormatPr defaultRowHeight="15.75" x14ac:dyDescent="0.25"/>
  <cols>
    <col min="1" max="1" width="20.85546875" style="1" customWidth="1"/>
    <col min="2" max="2" width="56" style="1" customWidth="1"/>
    <col min="3" max="3" width="7.140625" style="2" customWidth="1"/>
    <col min="4" max="8" width="13.85546875" style="2" customWidth="1"/>
    <col min="9" max="9" width="17.140625" style="2" customWidth="1"/>
    <col min="10" max="16384" width="9.140625" style="1"/>
  </cols>
  <sheetData>
    <row r="1" spans="1:9" ht="16.5" thickBot="1" x14ac:dyDescent="0.3">
      <c r="I1" s="116" t="s">
        <v>185</v>
      </c>
    </row>
    <row r="2" spans="1:9" ht="32.25" customHeight="1" thickBot="1" x14ac:dyDescent="0.3">
      <c r="A2" s="111" t="s">
        <v>41</v>
      </c>
      <c r="B2" s="219" t="s">
        <v>67</v>
      </c>
      <c r="C2" s="220"/>
      <c r="D2" s="221" t="s">
        <v>56</v>
      </c>
      <c r="E2" s="224" t="s">
        <v>57</v>
      </c>
      <c r="F2" s="225"/>
      <c r="G2" s="225"/>
      <c r="H2" s="226"/>
      <c r="I2" s="227" t="s">
        <v>58</v>
      </c>
    </row>
    <row r="3" spans="1:9" ht="16.5" customHeight="1" thickBot="1" x14ac:dyDescent="0.3">
      <c r="A3" s="227" t="s">
        <v>59</v>
      </c>
      <c r="B3" s="228" t="s">
        <v>60</v>
      </c>
      <c r="C3" s="229"/>
      <c r="D3" s="222"/>
      <c r="E3" s="227" t="s">
        <v>61</v>
      </c>
      <c r="F3" s="224" t="s">
        <v>62</v>
      </c>
      <c r="G3" s="226"/>
      <c r="H3" s="110" t="s">
        <v>63</v>
      </c>
      <c r="I3" s="222"/>
    </row>
    <row r="4" spans="1:9" ht="48" thickBot="1" x14ac:dyDescent="0.3">
      <c r="A4" s="223"/>
      <c r="B4" s="230"/>
      <c r="C4" s="231"/>
      <c r="D4" s="223"/>
      <c r="E4" s="223"/>
      <c r="F4" s="110" t="s">
        <v>64</v>
      </c>
      <c r="G4" s="110" t="s">
        <v>65</v>
      </c>
      <c r="H4" s="110" t="s">
        <v>66</v>
      </c>
      <c r="I4" s="223"/>
    </row>
    <row r="5" spans="1:9" ht="16.5" thickBot="1" x14ac:dyDescent="0.3">
      <c r="A5" s="112">
        <v>1</v>
      </c>
      <c r="B5" s="113">
        <f>A5+1</f>
        <v>2</v>
      </c>
      <c r="C5" s="113">
        <f t="shared" ref="C5:I5" si="0">B5+1</f>
        <v>3</v>
      </c>
      <c r="D5" s="112">
        <f t="shared" si="0"/>
        <v>4</v>
      </c>
      <c r="E5" s="112">
        <f t="shared" si="0"/>
        <v>5</v>
      </c>
      <c r="F5" s="112">
        <f t="shared" si="0"/>
        <v>6</v>
      </c>
      <c r="G5" s="112">
        <f t="shared" si="0"/>
        <v>7</v>
      </c>
      <c r="H5" s="112">
        <f t="shared" si="0"/>
        <v>8</v>
      </c>
      <c r="I5" s="112">
        <f t="shared" si="0"/>
        <v>9</v>
      </c>
    </row>
    <row r="6" spans="1:9" ht="82.5" customHeight="1" thickBot="1" x14ac:dyDescent="0.3">
      <c r="A6" s="175" t="str">
        <f>Калькуляция!A16</f>
        <v>ГЭСН 28-01-111-03
калькуляция 421/пр_п.10_пп.б</v>
      </c>
      <c r="B6" s="176" t="str">
        <f>Калькуляция!B16</f>
        <v>Устройство буроинъекционных свай с использованием разрядно-импульсной технологии (РИТ) с применением передвижного механизированного комплекса (ПМК) на слабом основании диаметром скважины до 300 мм: длиной 3 м</v>
      </c>
      <c r="C6" s="177" t="str">
        <f>Калькуляция!C16</f>
        <v>шт</v>
      </c>
      <c r="D6" s="178">
        <f>E6+F6+H6</f>
        <v>4938.3580014868603</v>
      </c>
      <c r="E6" s="179">
        <f>Калькуляция!N54</f>
        <v>273.10191829004327</v>
      </c>
      <c r="F6" s="178">
        <f>Калькуляция!N55</f>
        <v>2802.6814406676208</v>
      </c>
      <c r="G6" s="179">
        <f>Калькуляция!N56</f>
        <v>127.3419090909091</v>
      </c>
      <c r="H6" s="180">
        <f>Калькуляция!N57</f>
        <v>1862.5746425291968</v>
      </c>
      <c r="I6" s="181">
        <f>Калькуляция!D17</f>
        <v>28.67</v>
      </c>
    </row>
    <row r="10" spans="1:9" ht="31.5" customHeight="1" x14ac:dyDescent="0.25"/>
  </sheetData>
  <mergeCells count="8">
    <mergeCell ref="B2:C2"/>
    <mergeCell ref="D2:D4"/>
    <mergeCell ref="E2:H2"/>
    <mergeCell ref="I2:I4"/>
    <mergeCell ref="A3:A4"/>
    <mergeCell ref="E3:E4"/>
    <mergeCell ref="F3:G3"/>
    <mergeCell ref="B3: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44"/>
  <sheetViews>
    <sheetView showGridLines="0" topLeftCell="A37" zoomScale="85" zoomScaleNormal="85" workbookViewId="0">
      <selection activeCell="J102" sqref="J102:M102"/>
    </sheetView>
  </sheetViews>
  <sheetFormatPr defaultColWidth="9.140625" defaultRowHeight="15.75" x14ac:dyDescent="0.25"/>
  <cols>
    <col min="1" max="1" width="7.7109375" style="68" customWidth="1"/>
    <col min="2" max="2" width="23.85546875" style="103" customWidth="1"/>
    <col min="3" max="3" width="42.28515625" style="103" customWidth="1"/>
    <col min="4" max="4" width="10.7109375" style="62" customWidth="1"/>
    <col min="5" max="5" width="12.140625" style="62" customWidth="1"/>
    <col min="6" max="6" width="11.42578125" style="62" customWidth="1"/>
    <col min="7" max="7" width="14.42578125" style="91" customWidth="1"/>
    <col min="8" max="8" width="12.7109375" style="63" customWidth="1"/>
    <col min="9" max="9" width="14.140625" style="62" customWidth="1"/>
    <col min="10" max="10" width="16" style="63" customWidth="1"/>
    <col min="11" max="11" width="9.42578125" style="62" customWidth="1"/>
    <col min="12" max="12" width="17.42578125" style="47" customWidth="1"/>
    <col min="13" max="13" width="9.140625" style="67"/>
    <col min="14" max="14" width="11.7109375" style="67" customWidth="1"/>
    <col min="15" max="16384" width="9.140625" style="67"/>
  </cols>
  <sheetData>
    <row r="1" spans="1:12" ht="21" customHeight="1" x14ac:dyDescent="0.25">
      <c r="A1" s="102"/>
      <c r="B1" s="102"/>
      <c r="C1" s="102"/>
      <c r="D1" s="102"/>
      <c r="E1" s="102"/>
      <c r="F1" s="102"/>
      <c r="G1" s="88"/>
      <c r="H1" s="102"/>
      <c r="I1" s="102"/>
      <c r="J1" s="102"/>
      <c r="K1" s="102"/>
      <c r="L1" s="102"/>
    </row>
    <row r="2" spans="1:12" s="84" customFormat="1" x14ac:dyDescent="0.25">
      <c r="A2" s="232" t="s">
        <v>76</v>
      </c>
      <c r="B2" s="232"/>
      <c r="C2" s="232"/>
      <c r="D2" s="232"/>
      <c r="E2" s="232"/>
      <c r="F2" s="233" t="s">
        <v>77</v>
      </c>
      <c r="G2" s="233"/>
      <c r="H2" s="233"/>
      <c r="I2" s="233"/>
      <c r="J2" s="233"/>
      <c r="K2" s="233"/>
      <c r="L2" s="233"/>
    </row>
    <row r="3" spans="1:12" s="84" customFormat="1" x14ac:dyDescent="0.25">
      <c r="A3" s="232" t="s">
        <v>78</v>
      </c>
      <c r="B3" s="232"/>
      <c r="C3" s="232"/>
      <c r="D3" s="232"/>
      <c r="E3" s="232"/>
      <c r="F3" s="233" t="s">
        <v>77</v>
      </c>
      <c r="G3" s="233"/>
      <c r="H3" s="233"/>
      <c r="I3" s="233"/>
      <c r="J3" s="233"/>
      <c r="K3" s="233"/>
      <c r="L3" s="233"/>
    </row>
    <row r="4" spans="1:12" s="84" customFormat="1" x14ac:dyDescent="0.25">
      <c r="A4" s="232" t="s">
        <v>79</v>
      </c>
      <c r="B4" s="232"/>
      <c r="C4" s="232"/>
      <c r="D4" s="232"/>
      <c r="E4" s="232"/>
      <c r="F4" s="233" t="s">
        <v>77</v>
      </c>
      <c r="G4" s="233"/>
      <c r="H4" s="233"/>
      <c r="I4" s="233"/>
      <c r="J4" s="233"/>
      <c r="K4" s="233"/>
      <c r="L4" s="233"/>
    </row>
    <row r="5" spans="1:12" s="84" customFormat="1" ht="95.25" customHeight="1" x14ac:dyDescent="0.25">
      <c r="A5" s="232" t="s">
        <v>80</v>
      </c>
      <c r="B5" s="232"/>
      <c r="C5" s="232"/>
      <c r="D5" s="232"/>
      <c r="E5" s="232"/>
      <c r="F5" s="233" t="s">
        <v>187</v>
      </c>
      <c r="G5" s="233"/>
      <c r="H5" s="233"/>
      <c r="I5" s="233"/>
      <c r="J5" s="233"/>
      <c r="K5" s="233"/>
      <c r="L5" s="233"/>
    </row>
    <row r="6" spans="1:12" s="84" customFormat="1" ht="52.5" customHeight="1" x14ac:dyDescent="0.25">
      <c r="A6" s="232" t="s">
        <v>81</v>
      </c>
      <c r="B6" s="232"/>
      <c r="C6" s="232"/>
      <c r="D6" s="232"/>
      <c r="E6" s="232"/>
      <c r="F6" s="233" t="s">
        <v>82</v>
      </c>
      <c r="G6" s="233"/>
      <c r="H6" s="233"/>
      <c r="I6" s="233"/>
      <c r="J6" s="233"/>
      <c r="K6" s="233"/>
      <c r="L6" s="233"/>
    </row>
    <row r="7" spans="1:12" s="84" customFormat="1" x14ac:dyDescent="0.25">
      <c r="A7" s="232" t="s">
        <v>83</v>
      </c>
      <c r="B7" s="232"/>
      <c r="C7" s="232"/>
      <c r="D7" s="232"/>
      <c r="E7" s="232"/>
      <c r="F7" s="234" t="s">
        <v>175</v>
      </c>
      <c r="G7" s="233"/>
      <c r="H7" s="233"/>
      <c r="I7" s="233"/>
      <c r="J7" s="233"/>
      <c r="K7" s="233"/>
      <c r="L7" s="233"/>
    </row>
    <row r="8" spans="1:12" s="84" customFormat="1" x14ac:dyDescent="0.25">
      <c r="A8" s="232" t="s">
        <v>84</v>
      </c>
      <c r="B8" s="232"/>
      <c r="C8" s="232"/>
      <c r="D8" s="232"/>
      <c r="E8" s="232"/>
      <c r="F8" s="234" t="s">
        <v>186</v>
      </c>
      <c r="G8" s="233"/>
      <c r="H8" s="233"/>
      <c r="I8" s="233"/>
      <c r="J8" s="233"/>
      <c r="K8" s="233"/>
      <c r="L8" s="233"/>
    </row>
    <row r="9" spans="1:12" ht="16.5" customHeight="1" x14ac:dyDescent="0.25">
      <c r="D9" s="19"/>
      <c r="E9" s="19"/>
      <c r="F9" s="19"/>
      <c r="G9" s="89"/>
      <c r="H9" s="20"/>
      <c r="I9" s="19"/>
      <c r="J9" s="20"/>
      <c r="K9" s="19"/>
    </row>
    <row r="10" spans="1:12" x14ac:dyDescent="0.25">
      <c r="A10" s="236" t="s">
        <v>85</v>
      </c>
      <c r="B10" s="236"/>
      <c r="C10" s="236"/>
      <c r="D10" s="236"/>
      <c r="E10" s="236"/>
      <c r="F10" s="236"/>
      <c r="G10" s="236"/>
      <c r="H10" s="236"/>
      <c r="I10" s="236"/>
      <c r="J10" s="236"/>
      <c r="K10" s="236"/>
      <c r="L10" s="236"/>
    </row>
    <row r="11" spans="1:12" ht="16.5" x14ac:dyDescent="0.25">
      <c r="A11" s="27"/>
      <c r="B11" s="237" t="s">
        <v>86</v>
      </c>
      <c r="C11" s="237"/>
      <c r="D11" s="237"/>
      <c r="E11" s="237"/>
      <c r="F11" s="237"/>
      <c r="G11" s="237"/>
      <c r="H11" s="237"/>
      <c r="I11" s="237"/>
      <c r="J11" s="237"/>
      <c r="K11" s="237"/>
      <c r="L11" s="37"/>
    </row>
    <row r="13" spans="1:12" x14ac:dyDescent="0.25">
      <c r="A13" s="238" t="s">
        <v>87</v>
      </c>
      <c r="B13" s="238"/>
      <c r="C13" s="238"/>
      <c r="D13" s="238"/>
      <c r="E13" s="238"/>
      <c r="F13" s="238"/>
      <c r="G13" s="238"/>
      <c r="H13" s="238"/>
      <c r="I13" s="238"/>
      <c r="J13" s="238"/>
      <c r="K13" s="238"/>
      <c r="L13" s="238"/>
    </row>
    <row r="14" spans="1:12" ht="16.5" x14ac:dyDescent="0.25">
      <c r="B14" s="237" t="s">
        <v>88</v>
      </c>
      <c r="C14" s="237"/>
      <c r="D14" s="237"/>
      <c r="E14" s="237"/>
      <c r="F14" s="237"/>
      <c r="G14" s="237"/>
      <c r="H14" s="237"/>
      <c r="I14" s="237"/>
      <c r="J14" s="237"/>
      <c r="K14" s="237"/>
    </row>
    <row r="16" spans="1:12" x14ac:dyDescent="0.25">
      <c r="A16" s="28"/>
      <c r="B16" s="239"/>
      <c r="C16" s="239"/>
      <c r="D16" s="239"/>
      <c r="E16" s="239"/>
      <c r="F16" s="239"/>
      <c r="G16" s="239"/>
      <c r="H16" s="239"/>
      <c r="I16" s="239"/>
      <c r="J16" s="239"/>
      <c r="K16" s="239"/>
      <c r="L16" s="38"/>
    </row>
    <row r="17" spans="1:12" x14ac:dyDescent="0.25">
      <c r="A17" s="28"/>
      <c r="B17" s="239" t="s">
        <v>89</v>
      </c>
      <c r="C17" s="239"/>
      <c r="D17" s="239"/>
      <c r="E17" s="239"/>
      <c r="F17" s="239"/>
      <c r="G17" s="239"/>
      <c r="H17" s="239"/>
      <c r="I17" s="239"/>
      <c r="J17" s="239"/>
      <c r="K17" s="239"/>
      <c r="L17" s="38"/>
    </row>
    <row r="18" spans="1:12" x14ac:dyDescent="0.25">
      <c r="A18" s="28"/>
      <c r="B18" s="21"/>
      <c r="C18" s="21"/>
      <c r="D18" s="49"/>
      <c r="E18" s="21"/>
      <c r="F18" s="21"/>
      <c r="G18" s="90"/>
      <c r="H18" s="21"/>
      <c r="I18" s="21"/>
      <c r="J18" s="21"/>
      <c r="K18" s="21"/>
      <c r="L18" s="38"/>
    </row>
    <row r="19" spans="1:12" x14ac:dyDescent="0.25">
      <c r="A19" s="240" t="s">
        <v>167</v>
      </c>
      <c r="B19" s="240"/>
      <c r="C19" s="240"/>
      <c r="D19" s="240"/>
      <c r="E19" s="240"/>
      <c r="F19" s="240"/>
      <c r="G19" s="240"/>
      <c r="H19" s="240"/>
      <c r="I19" s="240"/>
      <c r="J19" s="240"/>
      <c r="K19" s="240"/>
      <c r="L19" s="240"/>
    </row>
    <row r="20" spans="1:12" ht="16.5" x14ac:dyDescent="0.25">
      <c r="B20" s="237" t="s">
        <v>90</v>
      </c>
      <c r="C20" s="237"/>
      <c r="D20" s="237"/>
      <c r="E20" s="237"/>
      <c r="F20" s="237"/>
      <c r="G20" s="237"/>
      <c r="H20" s="237"/>
      <c r="I20" s="237"/>
      <c r="J20" s="237"/>
      <c r="K20" s="237"/>
      <c r="L20" s="37"/>
    </row>
    <row r="22" spans="1:12" x14ac:dyDescent="0.25">
      <c r="A22" s="68" t="s">
        <v>91</v>
      </c>
      <c r="C22" s="22" t="s">
        <v>92</v>
      </c>
      <c r="D22" s="62" t="s">
        <v>93</v>
      </c>
    </row>
    <row r="24" spans="1:12" x14ac:dyDescent="0.25">
      <c r="A24" s="68" t="s">
        <v>94</v>
      </c>
      <c r="C24" s="241" t="s">
        <v>208</v>
      </c>
      <c r="D24" s="241"/>
      <c r="E24" s="241"/>
      <c r="F24" s="241"/>
      <c r="G24" s="241"/>
      <c r="H24" s="241"/>
      <c r="I24" s="241"/>
      <c r="J24" s="241"/>
      <c r="K24" s="241"/>
      <c r="L24" s="241"/>
    </row>
    <row r="25" spans="1:12" ht="16.5" x14ac:dyDescent="0.25">
      <c r="A25" s="29"/>
      <c r="C25" s="235" t="s">
        <v>95</v>
      </c>
      <c r="D25" s="235"/>
      <c r="E25" s="235"/>
      <c r="F25" s="235"/>
      <c r="G25" s="235"/>
      <c r="H25" s="235"/>
      <c r="I25" s="235"/>
      <c r="J25" s="235"/>
      <c r="K25" s="235"/>
      <c r="L25" s="235"/>
    </row>
    <row r="27" spans="1:12" x14ac:dyDescent="0.25">
      <c r="A27" s="31" t="s">
        <v>96</v>
      </c>
      <c r="B27" s="32"/>
      <c r="D27" s="242" t="s">
        <v>205</v>
      </c>
      <c r="E27" s="243"/>
      <c r="F27" s="243"/>
      <c r="G27" s="243"/>
      <c r="H27" s="243"/>
      <c r="I27" s="243"/>
      <c r="J27" s="243"/>
      <c r="K27" s="243"/>
      <c r="L27" s="243"/>
    </row>
    <row r="28" spans="1:12" x14ac:dyDescent="0.25">
      <c r="A28" s="33"/>
      <c r="B28" s="32"/>
    </row>
    <row r="29" spans="1:12" x14ac:dyDescent="0.25">
      <c r="A29" s="31" t="s">
        <v>97</v>
      </c>
      <c r="B29" s="32"/>
      <c r="C29" s="42"/>
      <c r="D29" s="81">
        <f>L101/1000</f>
        <v>87.087289247348906</v>
      </c>
      <c r="E29" s="81" t="str">
        <f>"("&amp;ROUND(J101/1000,2)&amp;")"</f>
        <v>(5,64)</v>
      </c>
      <c r="F29" s="36" t="s">
        <v>98</v>
      </c>
      <c r="G29" s="92" t="s">
        <v>99</v>
      </c>
      <c r="I29" s="24"/>
      <c r="J29" s="83">
        <f>L104/1000</f>
        <v>10.093846900000001</v>
      </c>
      <c r="K29" s="81" t="str">
        <f>"("&amp;ROUND(J104/1000,2)&amp;")"</f>
        <v>(0,27)</v>
      </c>
      <c r="L29" s="39" t="s">
        <v>100</v>
      </c>
    </row>
    <row r="30" spans="1:12" x14ac:dyDescent="0.25">
      <c r="A30" s="33"/>
      <c r="B30" s="34" t="s">
        <v>101</v>
      </c>
      <c r="C30" s="23"/>
      <c r="D30" s="82"/>
      <c r="E30" s="82"/>
      <c r="F30" s="36"/>
      <c r="G30" s="92"/>
      <c r="I30" s="24"/>
      <c r="J30" s="83"/>
      <c r="K30" s="81"/>
      <c r="L30" s="39"/>
    </row>
    <row r="31" spans="1:12" x14ac:dyDescent="0.25">
      <c r="A31" s="33"/>
      <c r="B31" s="41" t="s">
        <v>102</v>
      </c>
      <c r="C31" s="42"/>
      <c r="D31" s="81">
        <f>L81/1000</f>
        <v>87.087289247348906</v>
      </c>
      <c r="E31" s="81" t="str">
        <f>"("&amp;ROUND(J81/1000,2)&amp;")"</f>
        <v>(5,64)</v>
      </c>
      <c r="F31" s="36" t="s">
        <v>100</v>
      </c>
      <c r="G31" s="92" t="s">
        <v>103</v>
      </c>
      <c r="I31" s="24"/>
      <c r="J31" s="244">
        <f>G129</f>
        <v>28.67</v>
      </c>
      <c r="K31" s="244"/>
      <c r="L31" s="39" t="s">
        <v>54</v>
      </c>
    </row>
    <row r="32" spans="1:12" x14ac:dyDescent="0.25">
      <c r="A32" s="33"/>
      <c r="B32" s="35" t="s">
        <v>104</v>
      </c>
      <c r="C32" s="42"/>
      <c r="D32" s="81"/>
      <c r="E32" s="81"/>
      <c r="F32" s="36" t="s">
        <v>100</v>
      </c>
      <c r="G32" s="92" t="s">
        <v>105</v>
      </c>
      <c r="I32" s="24"/>
      <c r="J32" s="244">
        <f>G130</f>
        <v>10.15</v>
      </c>
      <c r="K32" s="244"/>
      <c r="L32" s="39" t="s">
        <v>54</v>
      </c>
    </row>
    <row r="33" spans="1:12" x14ac:dyDescent="0.25">
      <c r="A33" s="33"/>
      <c r="B33" s="35" t="s">
        <v>106</v>
      </c>
      <c r="C33" s="42"/>
      <c r="D33" s="81"/>
      <c r="E33" s="81"/>
      <c r="F33" s="36" t="s">
        <v>100</v>
      </c>
      <c r="G33" s="93"/>
      <c r="H33" s="67"/>
      <c r="I33" s="67"/>
      <c r="J33" s="67"/>
      <c r="K33" s="67"/>
      <c r="L33" s="67"/>
    </row>
    <row r="34" spans="1:12" x14ac:dyDescent="0.25">
      <c r="A34" s="33"/>
      <c r="B34" s="35" t="s">
        <v>107</v>
      </c>
      <c r="C34" s="42"/>
      <c r="D34" s="43"/>
      <c r="E34" s="43"/>
      <c r="F34" s="36" t="s">
        <v>100</v>
      </c>
      <c r="G34" s="93"/>
      <c r="H34" s="67"/>
      <c r="I34" s="67"/>
      <c r="J34" s="67"/>
      <c r="K34" s="67"/>
      <c r="L34" s="67"/>
    </row>
    <row r="35" spans="1:12" ht="16.5" x14ac:dyDescent="0.25">
      <c r="J35" s="44"/>
      <c r="K35" s="45"/>
      <c r="L35" s="46"/>
    </row>
    <row r="36" spans="1:12" ht="48.75" customHeight="1" x14ac:dyDescent="0.25">
      <c r="A36" s="245" t="s">
        <v>108</v>
      </c>
      <c r="B36" s="247" t="s">
        <v>109</v>
      </c>
      <c r="C36" s="247" t="s">
        <v>110</v>
      </c>
      <c r="D36" s="247" t="s">
        <v>111</v>
      </c>
      <c r="E36" s="249" t="s">
        <v>112</v>
      </c>
      <c r="F36" s="250"/>
      <c r="G36" s="251"/>
      <c r="H36" s="249" t="s">
        <v>113</v>
      </c>
      <c r="I36" s="250"/>
      <c r="J36" s="251"/>
      <c r="K36" s="247" t="s">
        <v>114</v>
      </c>
      <c r="L36" s="258" t="s">
        <v>115</v>
      </c>
    </row>
    <row r="37" spans="1:12" ht="52.5" customHeight="1" x14ac:dyDescent="0.25">
      <c r="A37" s="246"/>
      <c r="B37" s="248"/>
      <c r="C37" s="248"/>
      <c r="D37" s="248"/>
      <c r="E37" s="17" t="s">
        <v>116</v>
      </c>
      <c r="F37" s="17" t="s">
        <v>117</v>
      </c>
      <c r="G37" s="94" t="s">
        <v>118</v>
      </c>
      <c r="H37" s="18" t="s">
        <v>116</v>
      </c>
      <c r="I37" s="17" t="s">
        <v>119</v>
      </c>
      <c r="J37" s="18" t="s">
        <v>64</v>
      </c>
      <c r="K37" s="248"/>
      <c r="L37" s="259"/>
    </row>
    <row r="38" spans="1:12" x14ac:dyDescent="0.25">
      <c r="A38" s="30">
        <v>1</v>
      </c>
      <c r="B38" s="25">
        <v>2</v>
      </c>
      <c r="C38" s="25">
        <v>3</v>
      </c>
      <c r="D38" s="26">
        <v>4</v>
      </c>
      <c r="E38" s="26">
        <v>5</v>
      </c>
      <c r="F38" s="26">
        <v>6</v>
      </c>
      <c r="G38" s="107">
        <v>7</v>
      </c>
      <c r="H38" s="26">
        <v>8</v>
      </c>
      <c r="I38" s="26">
        <v>9</v>
      </c>
      <c r="J38" s="26">
        <v>10</v>
      </c>
      <c r="K38" s="26">
        <v>11</v>
      </c>
      <c r="L38" s="40">
        <v>12</v>
      </c>
    </row>
    <row r="39" spans="1:12" x14ac:dyDescent="0.25">
      <c r="A39" s="152" t="s">
        <v>173</v>
      </c>
      <c r="B39" s="49"/>
      <c r="C39" s="49"/>
      <c r="D39" s="149"/>
      <c r="E39" s="149"/>
      <c r="F39" s="149"/>
      <c r="G39" s="150"/>
      <c r="H39" s="149"/>
      <c r="I39" s="149"/>
      <c r="J39" s="149"/>
      <c r="K39" s="149"/>
      <c r="L39" s="151"/>
    </row>
    <row r="40" spans="1:12" ht="99" customHeight="1" x14ac:dyDescent="0.25">
      <c r="A40" s="51" t="s">
        <v>120</v>
      </c>
      <c r="B40" s="103" t="str">
        <f>'Выходная форма ЕР'!A6</f>
        <v>ГЭСН 28-01-111-03
калькуляция 421/пр_п.10_пп.б</v>
      </c>
      <c r="C40" s="103" t="str">
        <f>'Выходная форма ЕР'!B6</f>
        <v>Устройство буроинъекционных свай с использованием разрядно-импульсной технологии (РИТ) с применением передвижного механизированного комплекса (ПМК) на слабом основании диаметром скважины до 300 мм: длиной 3 м</v>
      </c>
      <c r="D40" s="50" t="str">
        <f>'Выходная форма ЕР'!C6</f>
        <v>шт</v>
      </c>
      <c r="E40" s="100">
        <v>1</v>
      </c>
      <c r="G40" s="100">
        <f>E40</f>
        <v>1</v>
      </c>
      <c r="L40" s="63"/>
    </row>
    <row r="41" spans="1:12" x14ac:dyDescent="0.25">
      <c r="B41" s="80">
        <v>1</v>
      </c>
      <c r="C41" s="103" t="s">
        <v>49</v>
      </c>
      <c r="H41" s="65">
        <f>'Выходная форма ЕР'!E6</f>
        <v>273.10191829004327</v>
      </c>
      <c r="I41" s="64"/>
      <c r="J41" s="65">
        <f>G40*H41</f>
        <v>273.10191829004327</v>
      </c>
      <c r="K41" s="65">
        <f>Калькуляция!D93</f>
        <v>36.96</v>
      </c>
      <c r="L41" s="65">
        <f>J41*K41</f>
        <v>10093.8469</v>
      </c>
    </row>
    <row r="42" spans="1:12" x14ac:dyDescent="0.25">
      <c r="B42" s="80">
        <v>2</v>
      </c>
      <c r="C42" s="103" t="s">
        <v>50</v>
      </c>
      <c r="F42" s="64"/>
      <c r="H42" s="65">
        <f>'Выходная форма ЕР'!F6</f>
        <v>2802.6814406676208</v>
      </c>
      <c r="I42" s="64"/>
      <c r="J42" s="65">
        <f>G40*H42</f>
        <v>2802.6814406676208</v>
      </c>
      <c r="L42" s="63"/>
    </row>
    <row r="43" spans="1:12" x14ac:dyDescent="0.25">
      <c r="B43" s="80">
        <v>3</v>
      </c>
      <c r="C43" s="103" t="s">
        <v>51</v>
      </c>
      <c r="H43" s="65">
        <f>'Выходная форма ЕР'!G6</f>
        <v>127.3419090909091</v>
      </c>
      <c r="I43" s="64"/>
      <c r="J43" s="65">
        <f>G40*H43</f>
        <v>127.3419090909091</v>
      </c>
      <c r="K43" s="65">
        <f>Калькуляция!D93</f>
        <v>36.96</v>
      </c>
      <c r="L43" s="65">
        <f>J43*K43</f>
        <v>4706.5569600000008</v>
      </c>
    </row>
    <row r="44" spans="1:12" x14ac:dyDescent="0.25">
      <c r="B44" s="80">
        <v>4</v>
      </c>
      <c r="C44" s="103" t="s">
        <v>52</v>
      </c>
      <c r="F44" s="64"/>
      <c r="H44" s="65">
        <f>'Выходная форма ЕР'!H6</f>
        <v>1862.5746425291968</v>
      </c>
      <c r="I44" s="64"/>
      <c r="J44" s="65">
        <f>G40*H44</f>
        <v>1862.5746425291968</v>
      </c>
      <c r="L44" s="63"/>
    </row>
    <row r="45" spans="1:12" x14ac:dyDescent="0.25">
      <c r="C45" s="103" t="s">
        <v>53</v>
      </c>
      <c r="D45" s="50" t="s">
        <v>54</v>
      </c>
      <c r="E45" s="65">
        <f>'Выходная форма ЕР'!I6</f>
        <v>28.67</v>
      </c>
      <c r="F45" s="64"/>
      <c r="G45" s="99">
        <f>G40*E45</f>
        <v>28.67</v>
      </c>
      <c r="L45" s="63"/>
    </row>
    <row r="46" spans="1:12" x14ac:dyDescent="0.25">
      <c r="C46" s="103" t="s">
        <v>55</v>
      </c>
      <c r="D46" s="50" t="s">
        <v>54</v>
      </c>
      <c r="E46" s="64">
        <f>Калькуляция!D18</f>
        <v>10.15</v>
      </c>
      <c r="F46" s="64"/>
      <c r="G46" s="99">
        <f>G40*E46</f>
        <v>10.15</v>
      </c>
      <c r="L46" s="63"/>
    </row>
    <row r="47" spans="1:12" x14ac:dyDescent="0.25">
      <c r="C47" s="52" t="s">
        <v>121</v>
      </c>
      <c r="D47" s="53"/>
      <c r="E47" s="53"/>
      <c r="F47" s="53"/>
      <c r="G47" s="95"/>
      <c r="H47" s="54">
        <f>H41+H42+H44</f>
        <v>4938.3580014868603</v>
      </c>
      <c r="I47" s="53"/>
      <c r="J47" s="54">
        <f>J41+J42+J44</f>
        <v>4938.3580014868603</v>
      </c>
      <c r="K47" s="53"/>
      <c r="L47" s="57"/>
    </row>
    <row r="48" spans="1:12" x14ac:dyDescent="0.25">
      <c r="B48" s="67"/>
      <c r="C48" s="103" t="s">
        <v>122</v>
      </c>
      <c r="J48" s="65">
        <f>J41+J43</f>
        <v>400.44382738095237</v>
      </c>
      <c r="L48" s="65">
        <f>L43+L41</f>
        <v>14800.403860000002</v>
      </c>
    </row>
    <row r="49" spans="1:14" x14ac:dyDescent="0.25">
      <c r="B49" s="67" t="s">
        <v>168</v>
      </c>
      <c r="C49" s="103" t="s">
        <v>170</v>
      </c>
      <c r="D49" s="50" t="s">
        <v>123</v>
      </c>
      <c r="E49" s="62">
        <v>109</v>
      </c>
      <c r="G49" s="100">
        <f>E49</f>
        <v>109</v>
      </c>
      <c r="J49" s="65">
        <f>G49*J48/100</f>
        <v>436.4837718452381</v>
      </c>
      <c r="L49" s="65">
        <f>L48*G49/100</f>
        <v>16132.440207400003</v>
      </c>
    </row>
    <row r="50" spans="1:14" x14ac:dyDescent="0.25">
      <c r="B50" s="67" t="s">
        <v>169</v>
      </c>
      <c r="C50" s="103" t="s">
        <v>171</v>
      </c>
      <c r="D50" s="50" t="s">
        <v>123</v>
      </c>
      <c r="E50" s="62">
        <v>65</v>
      </c>
      <c r="G50" s="100">
        <f>E50</f>
        <v>65</v>
      </c>
      <c r="J50" s="65">
        <f>G50*J48/100</f>
        <v>260.28848779761904</v>
      </c>
      <c r="L50" s="65">
        <f>L48*G50/100</f>
        <v>9620.2625090000001</v>
      </c>
    </row>
    <row r="51" spans="1:14" x14ac:dyDescent="0.25">
      <c r="A51" s="55"/>
      <c r="B51" s="52"/>
      <c r="C51" s="56" t="s">
        <v>124</v>
      </c>
      <c r="D51" s="53"/>
      <c r="E51" s="53"/>
      <c r="F51" s="53"/>
      <c r="G51" s="95"/>
      <c r="H51" s="57"/>
      <c r="I51" s="53"/>
      <c r="J51" s="58">
        <f>J47+J49+J50</f>
        <v>5635.1302611297178</v>
      </c>
      <c r="K51" s="53"/>
      <c r="L51" s="58"/>
    </row>
    <row r="52" spans="1:14" x14ac:dyDescent="0.25">
      <c r="C52" s="252" t="s">
        <v>172</v>
      </c>
      <c r="D52" s="253"/>
      <c r="E52" s="253"/>
      <c r="F52" s="253"/>
      <c r="G52" s="253"/>
      <c r="J52" s="65">
        <f>J54+J55+J61+J65</f>
        <v>4938.3580014868603</v>
      </c>
      <c r="L52" s="63"/>
    </row>
    <row r="53" spans="1:14" x14ac:dyDescent="0.25">
      <c r="C53" s="254" t="s">
        <v>125</v>
      </c>
      <c r="D53" s="255"/>
      <c r="E53" s="255"/>
      <c r="F53" s="255"/>
      <c r="G53" s="255"/>
      <c r="L53" s="63"/>
    </row>
    <row r="54" spans="1:14" x14ac:dyDescent="0.25">
      <c r="C54" s="256" t="s">
        <v>126</v>
      </c>
      <c r="D54" s="257"/>
      <c r="E54" s="257"/>
      <c r="F54" s="257"/>
      <c r="G54" s="257"/>
      <c r="J54" s="65">
        <f>J41</f>
        <v>273.10191829004327</v>
      </c>
      <c r="L54" s="65">
        <f>L41</f>
        <v>10093.8469</v>
      </c>
      <c r="N54" s="59"/>
    </row>
    <row r="55" spans="1:14" x14ac:dyDescent="0.25">
      <c r="C55" s="256" t="s">
        <v>127</v>
      </c>
      <c r="D55" s="257"/>
      <c r="E55" s="257"/>
      <c r="F55" s="257"/>
      <c r="G55" s="257"/>
      <c r="J55" s="65">
        <f>J57+J60</f>
        <v>2802.6814406676208</v>
      </c>
      <c r="L55" s="65"/>
    </row>
    <row r="56" spans="1:14" x14ac:dyDescent="0.25">
      <c r="C56" s="254" t="s">
        <v>128</v>
      </c>
      <c r="D56" s="255"/>
      <c r="E56" s="255"/>
      <c r="F56" s="255"/>
      <c r="G56" s="255"/>
      <c r="L56" s="65"/>
    </row>
    <row r="57" spans="1:14" ht="15.75" customHeight="1" x14ac:dyDescent="0.25">
      <c r="C57" s="256" t="s">
        <v>129</v>
      </c>
      <c r="D57" s="257"/>
      <c r="E57" s="257"/>
      <c r="F57" s="257"/>
      <c r="G57" s="257"/>
      <c r="J57" s="63">
        <f>J42</f>
        <v>2802.6814406676208</v>
      </c>
      <c r="L57" s="65"/>
    </row>
    <row r="58" spans="1:14" ht="15.75" customHeight="1" x14ac:dyDescent="0.25">
      <c r="C58" s="254" t="s">
        <v>130</v>
      </c>
      <c r="D58" s="255"/>
      <c r="E58" s="255"/>
      <c r="F58" s="255"/>
      <c r="G58" s="255"/>
      <c r="L58" s="65"/>
    </row>
    <row r="59" spans="1:14" x14ac:dyDescent="0.25">
      <c r="C59" s="256" t="s">
        <v>131</v>
      </c>
      <c r="D59" s="257"/>
      <c r="E59" s="257"/>
      <c r="F59" s="257"/>
      <c r="G59" s="257"/>
      <c r="J59" s="65">
        <f>J43</f>
        <v>127.3419090909091</v>
      </c>
      <c r="L59" s="65">
        <f>L43</f>
        <v>4706.5569600000008</v>
      </c>
      <c r="N59" s="59"/>
    </row>
    <row r="60" spans="1:14" x14ac:dyDescent="0.25">
      <c r="C60" s="103" t="s">
        <v>132</v>
      </c>
      <c r="D60" s="104"/>
      <c r="E60" s="104"/>
      <c r="F60" s="104"/>
      <c r="G60" s="96"/>
      <c r="J60" s="65"/>
      <c r="L60" s="65"/>
    </row>
    <row r="61" spans="1:14" x14ac:dyDescent="0.25">
      <c r="C61" s="256" t="s">
        <v>133</v>
      </c>
      <c r="D61" s="257"/>
      <c r="E61" s="257"/>
      <c r="F61" s="257"/>
      <c r="G61" s="257"/>
      <c r="J61" s="65">
        <f>J63+J64</f>
        <v>1862.5746425291968</v>
      </c>
      <c r="L61" s="65"/>
    </row>
    <row r="62" spans="1:14" x14ac:dyDescent="0.25">
      <c r="C62" s="101" t="s">
        <v>128</v>
      </c>
      <c r="D62" s="104"/>
      <c r="E62" s="104"/>
      <c r="F62" s="104"/>
      <c r="G62" s="96"/>
      <c r="J62" s="65"/>
      <c r="L62" s="65"/>
    </row>
    <row r="63" spans="1:14" ht="15.75" customHeight="1" x14ac:dyDescent="0.25">
      <c r="C63" s="106" t="s">
        <v>134</v>
      </c>
      <c r="D63" s="104"/>
      <c r="E63" s="104"/>
      <c r="F63" s="104"/>
      <c r="G63" s="96"/>
      <c r="J63" s="65">
        <f>J44</f>
        <v>1862.5746425291968</v>
      </c>
      <c r="L63" s="65"/>
    </row>
    <row r="64" spans="1:14" x14ac:dyDescent="0.25">
      <c r="C64" s="62" t="s">
        <v>135</v>
      </c>
      <c r="D64" s="104"/>
      <c r="E64" s="104"/>
      <c r="F64" s="104"/>
      <c r="G64" s="96"/>
      <c r="J64" s="65"/>
      <c r="L64" s="65"/>
    </row>
    <row r="65" spans="1:12" ht="15.75" customHeight="1" x14ac:dyDescent="0.25">
      <c r="C65" s="256" t="s">
        <v>136</v>
      </c>
      <c r="D65" s="257"/>
      <c r="E65" s="257"/>
      <c r="F65" s="257"/>
      <c r="G65" s="257"/>
      <c r="J65" s="65"/>
      <c r="L65" s="65"/>
    </row>
    <row r="66" spans="1:12" ht="15.75" customHeight="1" x14ac:dyDescent="0.25">
      <c r="C66" s="256" t="s">
        <v>137</v>
      </c>
      <c r="D66" s="257"/>
      <c r="E66" s="257"/>
      <c r="F66" s="257"/>
      <c r="G66" s="257"/>
      <c r="J66" s="65">
        <f>J48</f>
        <v>400.44382738095237</v>
      </c>
      <c r="L66" s="65">
        <f>L48</f>
        <v>14800.403860000002</v>
      </c>
    </row>
    <row r="67" spans="1:12" ht="15.75" customHeight="1" x14ac:dyDescent="0.25">
      <c r="C67" s="256" t="s">
        <v>138</v>
      </c>
      <c r="D67" s="257"/>
      <c r="E67" s="257"/>
      <c r="F67" s="257"/>
      <c r="G67" s="257"/>
      <c r="J67" s="65">
        <f>J49</f>
        <v>436.4837718452381</v>
      </c>
      <c r="L67" s="65">
        <f>L49</f>
        <v>16132.440207400003</v>
      </c>
    </row>
    <row r="68" spans="1:12" ht="15.75" customHeight="1" x14ac:dyDescent="0.25">
      <c r="C68" s="256" t="s">
        <v>139</v>
      </c>
      <c r="D68" s="257"/>
      <c r="E68" s="257"/>
      <c r="F68" s="257"/>
      <c r="G68" s="257"/>
      <c r="J68" s="65">
        <f>J50</f>
        <v>260.28848779761904</v>
      </c>
      <c r="L68" s="65">
        <f>L50</f>
        <v>9620.2625090000001</v>
      </c>
    </row>
    <row r="69" spans="1:12" ht="15.75" customHeight="1" x14ac:dyDescent="0.25">
      <c r="A69" s="67"/>
      <c r="B69" s="67"/>
      <c r="C69" s="256" t="s">
        <v>140</v>
      </c>
      <c r="D69" s="257"/>
      <c r="E69" s="257"/>
      <c r="F69" s="257"/>
      <c r="G69" s="257"/>
      <c r="J69" s="65"/>
      <c r="L69" s="65"/>
    </row>
    <row r="70" spans="1:12" ht="15.75" customHeight="1" x14ac:dyDescent="0.25">
      <c r="A70" s="67"/>
      <c r="B70" s="67"/>
      <c r="C70" s="61" t="s">
        <v>128</v>
      </c>
      <c r="D70" s="104"/>
      <c r="E70" s="104"/>
      <c r="F70" s="104"/>
      <c r="G70" s="96"/>
      <c r="J70" s="65"/>
      <c r="L70" s="65"/>
    </row>
    <row r="71" spans="1:12" ht="15.75" customHeight="1" x14ac:dyDescent="0.25">
      <c r="A71" s="67"/>
      <c r="B71" s="67"/>
      <c r="C71" s="62" t="s">
        <v>141</v>
      </c>
      <c r="D71" s="104"/>
      <c r="E71" s="104"/>
      <c r="F71" s="104"/>
      <c r="G71" s="96"/>
      <c r="J71" s="65"/>
      <c r="L71" s="65"/>
    </row>
    <row r="72" spans="1:12" ht="15.75" customHeight="1" x14ac:dyDescent="0.25">
      <c r="A72" s="67"/>
      <c r="B72" s="67"/>
      <c r="C72" s="62" t="s">
        <v>142</v>
      </c>
      <c r="D72" s="104"/>
      <c r="E72" s="104"/>
      <c r="F72" s="104"/>
      <c r="G72" s="96"/>
      <c r="J72" s="65"/>
      <c r="L72" s="65"/>
    </row>
    <row r="73" spans="1:12" ht="15.75" customHeight="1" x14ac:dyDescent="0.25">
      <c r="A73" s="67"/>
      <c r="B73" s="67"/>
      <c r="C73" s="256" t="s">
        <v>143</v>
      </c>
      <c r="D73" s="257"/>
      <c r="E73" s="257"/>
      <c r="F73" s="257"/>
      <c r="G73" s="257"/>
      <c r="J73" s="65"/>
      <c r="L73" s="65"/>
    </row>
    <row r="74" spans="1:12" x14ac:dyDescent="0.25">
      <c r="A74" s="67"/>
      <c r="B74" s="67"/>
      <c r="C74" s="252" t="s">
        <v>174</v>
      </c>
      <c r="D74" s="253"/>
      <c r="E74" s="253"/>
      <c r="F74" s="253"/>
      <c r="G74" s="253"/>
      <c r="J74" s="66">
        <f>J52+J67+J68+J69+J73</f>
        <v>5635.1302611297178</v>
      </c>
      <c r="L74" s="65"/>
    </row>
    <row r="75" spans="1:12" ht="15.75" customHeight="1" x14ac:dyDescent="0.25">
      <c r="A75" s="67"/>
      <c r="B75" s="67"/>
      <c r="C75" s="254" t="s">
        <v>128</v>
      </c>
      <c r="D75" s="255"/>
      <c r="E75" s="255"/>
      <c r="F75" s="255"/>
      <c r="G75" s="255"/>
      <c r="L75" s="65"/>
    </row>
    <row r="76" spans="1:12" ht="15.75" customHeight="1" x14ac:dyDescent="0.25">
      <c r="A76" s="67"/>
      <c r="B76" s="67"/>
      <c r="C76" s="256" t="s">
        <v>144</v>
      </c>
      <c r="D76" s="257"/>
      <c r="E76" s="257"/>
      <c r="F76" s="257"/>
      <c r="G76" s="257"/>
      <c r="J76" s="65"/>
      <c r="L76" s="65"/>
    </row>
    <row r="77" spans="1:12" ht="15.75" customHeight="1" x14ac:dyDescent="0.25">
      <c r="A77" s="67"/>
      <c r="B77" s="67"/>
      <c r="C77" s="256" t="s">
        <v>145</v>
      </c>
      <c r="D77" s="257"/>
      <c r="E77" s="257"/>
      <c r="F77" s="257"/>
      <c r="G77" s="257"/>
      <c r="J77" s="65"/>
      <c r="L77" s="65"/>
    </row>
    <row r="78" spans="1:12" ht="15.75" customHeight="1" thickBot="1" x14ac:dyDescent="0.3">
      <c r="A78" s="67"/>
      <c r="B78" s="67"/>
      <c r="D78" s="104"/>
      <c r="E78" s="104"/>
      <c r="F78" s="104"/>
      <c r="G78" s="96"/>
      <c r="J78" s="65"/>
      <c r="L78" s="65"/>
    </row>
    <row r="79" spans="1:12" ht="15.75" customHeight="1" x14ac:dyDescent="0.25">
      <c r="A79" s="71"/>
      <c r="B79" s="71"/>
      <c r="C79" s="72" t="s">
        <v>146</v>
      </c>
      <c r="D79" s="85"/>
      <c r="E79" s="85"/>
      <c r="F79" s="85"/>
      <c r="G79" s="97"/>
      <c r="H79" s="73"/>
      <c r="I79" s="74"/>
      <c r="J79" s="75"/>
      <c r="K79" s="74"/>
      <c r="L79" s="76"/>
    </row>
    <row r="80" spans="1:12" ht="15.75" customHeight="1" x14ac:dyDescent="0.25">
      <c r="A80" s="48"/>
      <c r="B80" s="48"/>
      <c r="C80" s="77"/>
      <c r="D80" s="86"/>
      <c r="E80" s="86"/>
      <c r="F80" s="86"/>
      <c r="G80" s="98"/>
      <c r="H80" s="20"/>
      <c r="I80" s="19"/>
      <c r="J80" s="78"/>
      <c r="K80" s="19"/>
      <c r="L80" s="79"/>
    </row>
    <row r="81" spans="1:14" ht="15.75" customHeight="1" x14ac:dyDescent="0.25">
      <c r="A81" s="67"/>
      <c r="B81" s="67"/>
      <c r="C81" s="260" t="s">
        <v>147</v>
      </c>
      <c r="D81" s="260"/>
      <c r="E81" s="260"/>
      <c r="F81" s="260"/>
      <c r="G81" s="260"/>
      <c r="I81" s="63"/>
      <c r="J81" s="66">
        <f>J83+J98+J99</f>
        <v>5635.1302611297178</v>
      </c>
      <c r="K81" s="70"/>
      <c r="L81" s="66">
        <f>L83+L98+L99</f>
        <v>87087.289247348905</v>
      </c>
    </row>
    <row r="82" spans="1:14" ht="15.75" customHeight="1" x14ac:dyDescent="0.25">
      <c r="A82" s="67"/>
      <c r="B82" s="67"/>
      <c r="C82" s="254" t="s">
        <v>148</v>
      </c>
      <c r="D82" s="254"/>
      <c r="E82" s="254"/>
      <c r="F82" s="254"/>
      <c r="G82" s="254"/>
      <c r="I82" s="63"/>
      <c r="J82" s="66"/>
      <c r="K82" s="70"/>
      <c r="L82" s="66"/>
    </row>
    <row r="83" spans="1:14" ht="15.75" customHeight="1" x14ac:dyDescent="0.25">
      <c r="A83" s="67"/>
      <c r="B83" s="67"/>
      <c r="C83" s="256" t="s">
        <v>149</v>
      </c>
      <c r="D83" s="257"/>
      <c r="E83" s="257"/>
      <c r="F83" s="257"/>
      <c r="G83" s="257"/>
      <c r="I83" s="63"/>
      <c r="J83" s="66">
        <f>J85+J86+J92+J96</f>
        <v>4938.3580014868603</v>
      </c>
      <c r="K83" s="70"/>
      <c r="L83" s="66">
        <f>L85+L86+L92+L96</f>
        <v>61334.586530948902</v>
      </c>
    </row>
    <row r="84" spans="1:14" ht="15.75" customHeight="1" x14ac:dyDescent="0.25">
      <c r="A84" s="67"/>
      <c r="B84" s="67"/>
      <c r="C84" s="254" t="s">
        <v>125</v>
      </c>
      <c r="D84" s="254"/>
      <c r="E84" s="254"/>
      <c r="F84" s="254"/>
      <c r="G84" s="254"/>
      <c r="I84" s="63"/>
      <c r="J84" s="70"/>
      <c r="K84" s="70"/>
      <c r="L84" s="87"/>
    </row>
    <row r="85" spans="1:14" ht="15.75" customHeight="1" x14ac:dyDescent="0.25">
      <c r="A85" s="67"/>
      <c r="B85" s="67"/>
      <c r="C85" s="256" t="s">
        <v>126</v>
      </c>
      <c r="D85" s="256"/>
      <c r="E85" s="256"/>
      <c r="F85" s="256"/>
      <c r="G85" s="256"/>
      <c r="I85" s="63"/>
      <c r="J85" s="65">
        <f>J41</f>
        <v>273.10191829004327</v>
      </c>
      <c r="K85" s="64"/>
      <c r="L85" s="65">
        <f>L41</f>
        <v>10093.8469</v>
      </c>
    </row>
    <row r="86" spans="1:14" ht="15.75" customHeight="1" x14ac:dyDescent="0.25">
      <c r="A86" s="67"/>
      <c r="B86" s="67"/>
      <c r="C86" s="256" t="s">
        <v>127</v>
      </c>
      <c r="D86" s="256"/>
      <c r="E86" s="256"/>
      <c r="F86" s="256"/>
      <c r="G86" s="256"/>
      <c r="I86" s="63"/>
      <c r="J86" s="65">
        <f>J88+J91</f>
        <v>2802.6814406676208</v>
      </c>
      <c r="K86" s="64"/>
      <c r="L86" s="65">
        <f>L88+L91</f>
        <v>35930.376069358899</v>
      </c>
    </row>
    <row r="87" spans="1:14" ht="15.75" customHeight="1" x14ac:dyDescent="0.25">
      <c r="A87" s="67"/>
      <c r="B87" s="67"/>
      <c r="C87" s="254" t="s">
        <v>128</v>
      </c>
      <c r="D87" s="254"/>
      <c r="E87" s="254"/>
      <c r="F87" s="254"/>
      <c r="G87" s="254"/>
      <c r="I87" s="63"/>
      <c r="J87" s="65"/>
      <c r="K87" s="70"/>
      <c r="L87" s="87"/>
    </row>
    <row r="88" spans="1:14" ht="15.75" customHeight="1" x14ac:dyDescent="0.25">
      <c r="C88" s="256" t="s">
        <v>129</v>
      </c>
      <c r="D88" s="256"/>
      <c r="E88" s="256"/>
      <c r="F88" s="256"/>
      <c r="G88" s="256"/>
      <c r="J88" s="65">
        <f>J42</f>
        <v>2802.6814406676208</v>
      </c>
      <c r="K88" s="63">
        <f>Калькуляция!D95</f>
        <v>12.82</v>
      </c>
      <c r="L88" s="63">
        <f>J88*K88</f>
        <v>35930.376069358899</v>
      </c>
      <c r="N88" s="63"/>
    </row>
    <row r="89" spans="1:14" ht="15.75" customHeight="1" x14ac:dyDescent="0.25">
      <c r="C89" s="254" t="s">
        <v>130</v>
      </c>
      <c r="D89" s="254"/>
      <c r="E89" s="254"/>
      <c r="F89" s="254"/>
      <c r="G89" s="254"/>
      <c r="J89" s="65"/>
      <c r="L89" s="63"/>
    </row>
    <row r="90" spans="1:14" ht="15.75" customHeight="1" x14ac:dyDescent="0.25">
      <c r="A90" s="67"/>
      <c r="B90" s="67"/>
      <c r="C90" s="256" t="s">
        <v>131</v>
      </c>
      <c r="D90" s="256"/>
      <c r="E90" s="256"/>
      <c r="F90" s="256"/>
      <c r="G90" s="256"/>
      <c r="I90" s="63"/>
      <c r="J90" s="65">
        <f>J43</f>
        <v>127.3419090909091</v>
      </c>
      <c r="K90" s="70"/>
      <c r="L90" s="65">
        <f>L43</f>
        <v>4706.5569600000008</v>
      </c>
    </row>
    <row r="91" spans="1:14" ht="15.75" customHeight="1" x14ac:dyDescent="0.25">
      <c r="A91" s="67"/>
      <c r="B91" s="67"/>
      <c r="C91" s="256" t="s">
        <v>132</v>
      </c>
      <c r="D91" s="256"/>
      <c r="E91" s="256"/>
      <c r="F91" s="256"/>
      <c r="G91" s="256"/>
      <c r="I91" s="63"/>
      <c r="J91" s="65"/>
      <c r="K91" s="70"/>
      <c r="L91" s="65"/>
    </row>
    <row r="92" spans="1:14" ht="15.75" customHeight="1" x14ac:dyDescent="0.25">
      <c r="A92" s="67"/>
      <c r="B92" s="67"/>
      <c r="C92" s="256" t="s">
        <v>133</v>
      </c>
      <c r="D92" s="256"/>
      <c r="E92" s="256"/>
      <c r="F92" s="256"/>
      <c r="G92" s="256"/>
      <c r="I92" s="63"/>
      <c r="J92" s="65">
        <f>J94+J95</f>
        <v>1862.5746425291968</v>
      </c>
      <c r="K92" s="65"/>
      <c r="L92" s="65">
        <f>L94+L95</f>
        <v>15310.363561589998</v>
      </c>
    </row>
    <row r="93" spans="1:14" ht="15.75" customHeight="1" x14ac:dyDescent="0.25">
      <c r="A93" s="67"/>
      <c r="B93" s="67"/>
      <c r="C93" s="254" t="s">
        <v>128</v>
      </c>
      <c r="D93" s="254"/>
      <c r="E93" s="254"/>
      <c r="F93" s="254"/>
      <c r="G93" s="254"/>
      <c r="I93" s="63"/>
      <c r="J93" s="65"/>
      <c r="K93" s="64"/>
      <c r="L93" s="65"/>
    </row>
    <row r="94" spans="1:14" ht="15.75" customHeight="1" x14ac:dyDescent="0.25">
      <c r="A94" s="67"/>
      <c r="B94" s="67"/>
      <c r="C94" s="232" t="s">
        <v>134</v>
      </c>
      <c r="D94" s="232"/>
      <c r="E94" s="232"/>
      <c r="F94" s="232"/>
      <c r="G94" s="232"/>
      <c r="I94" s="63"/>
      <c r="J94" s="65">
        <f>J44</f>
        <v>1862.5746425291968</v>
      </c>
      <c r="K94" s="65">
        <f>Калькуляция!D94</f>
        <v>8.2200000000000006</v>
      </c>
      <c r="L94" s="65">
        <f>K94*J94</f>
        <v>15310.363561589998</v>
      </c>
    </row>
    <row r="95" spans="1:14" ht="15.75" customHeight="1" x14ac:dyDescent="0.25">
      <c r="A95" s="67"/>
      <c r="B95" s="67"/>
      <c r="C95" s="261" t="s">
        <v>135</v>
      </c>
      <c r="D95" s="261"/>
      <c r="E95" s="261"/>
      <c r="F95" s="261"/>
      <c r="G95" s="261"/>
      <c r="I95" s="63"/>
      <c r="J95" s="65"/>
      <c r="K95" s="64"/>
      <c r="L95" s="65"/>
    </row>
    <row r="96" spans="1:14" ht="15.75" customHeight="1" x14ac:dyDescent="0.25">
      <c r="A96" s="67"/>
      <c r="B96" s="67"/>
      <c r="C96" s="62" t="s">
        <v>136</v>
      </c>
      <c r="D96" s="104"/>
      <c r="E96" s="104"/>
      <c r="F96" s="104"/>
      <c r="G96" s="96"/>
      <c r="I96" s="63"/>
      <c r="J96" s="65"/>
      <c r="K96" s="64"/>
      <c r="L96" s="65"/>
    </row>
    <row r="97" spans="1:14" ht="15.75" customHeight="1" x14ac:dyDescent="0.25">
      <c r="A97" s="67"/>
      <c r="B97" s="67"/>
      <c r="C97" s="62" t="s">
        <v>150</v>
      </c>
      <c r="D97" s="104"/>
      <c r="E97" s="104"/>
      <c r="F97" s="104"/>
      <c r="G97" s="96"/>
      <c r="I97" s="63"/>
      <c r="J97" s="65">
        <f>J48</f>
        <v>400.44382738095237</v>
      </c>
      <c r="K97" s="70"/>
      <c r="L97" s="65">
        <f>L48</f>
        <v>14800.403860000002</v>
      </c>
    </row>
    <row r="98" spans="1:14" ht="15.75" customHeight="1" x14ac:dyDescent="0.25">
      <c r="A98" s="67"/>
      <c r="B98" s="67"/>
      <c r="C98" s="62" t="s">
        <v>151</v>
      </c>
      <c r="D98" s="104"/>
      <c r="E98" s="104"/>
      <c r="F98" s="104"/>
      <c r="G98" s="96"/>
      <c r="I98" s="63"/>
      <c r="J98" s="65">
        <f>J49</f>
        <v>436.4837718452381</v>
      </c>
      <c r="K98" s="70"/>
      <c r="L98" s="65">
        <f>L49</f>
        <v>16132.440207400003</v>
      </c>
    </row>
    <row r="99" spans="1:14" ht="15.75" customHeight="1" x14ac:dyDescent="0.25">
      <c r="A99" s="67"/>
      <c r="B99" s="67"/>
      <c r="C99" s="62" t="s">
        <v>152</v>
      </c>
      <c r="D99" s="104"/>
      <c r="E99" s="104"/>
      <c r="F99" s="104"/>
      <c r="G99" s="96"/>
      <c r="I99" s="63"/>
      <c r="J99" s="65">
        <f>J50</f>
        <v>260.28848779761904</v>
      </c>
      <c r="K99" s="70"/>
      <c r="L99" s="65">
        <f>L50</f>
        <v>9620.2625090000001</v>
      </c>
    </row>
    <row r="100" spans="1:14" ht="15.75" customHeight="1" x14ac:dyDescent="0.25">
      <c r="A100" s="67"/>
      <c r="B100" s="67"/>
      <c r="C100" s="62"/>
      <c r="D100" s="104"/>
      <c r="E100" s="104"/>
      <c r="F100" s="104"/>
      <c r="G100" s="96"/>
      <c r="I100" s="63"/>
      <c r="J100" s="65"/>
      <c r="K100" s="70"/>
      <c r="L100" s="65"/>
    </row>
    <row r="101" spans="1:14" ht="15.75" customHeight="1" x14ac:dyDescent="0.25">
      <c r="A101" s="67"/>
      <c r="C101" s="60" t="s">
        <v>153</v>
      </c>
      <c r="D101" s="109"/>
      <c r="E101" s="109"/>
      <c r="F101" s="109"/>
      <c r="G101" s="148"/>
      <c r="I101" s="63"/>
      <c r="J101" s="66">
        <f>J102+J117+J118+J119+J123</f>
        <v>5635.1302611297178</v>
      </c>
      <c r="K101" s="70"/>
      <c r="L101" s="66">
        <f>L102+L117+L118+L119+L123</f>
        <v>87087.289247348905</v>
      </c>
    </row>
    <row r="102" spans="1:14" ht="15.75" customHeight="1" x14ac:dyDescent="0.25">
      <c r="A102" s="67"/>
      <c r="C102" s="103" t="s">
        <v>154</v>
      </c>
      <c r="D102" s="104"/>
      <c r="E102" s="104"/>
      <c r="F102" s="104"/>
      <c r="G102" s="96"/>
      <c r="I102" s="63"/>
      <c r="J102" s="66">
        <f>J104+J105+J111+J115</f>
        <v>4938.3580014868603</v>
      </c>
      <c r="K102" s="70"/>
      <c r="L102" s="66">
        <f>L104+L105+L111+L115</f>
        <v>61334.586530948902</v>
      </c>
    </row>
    <row r="103" spans="1:14" ht="15.75" customHeight="1" x14ac:dyDescent="0.25">
      <c r="A103" s="67"/>
      <c r="C103" s="101" t="s">
        <v>125</v>
      </c>
      <c r="D103" s="105"/>
      <c r="E103" s="105"/>
      <c r="F103" s="105"/>
      <c r="G103" s="108"/>
      <c r="I103" s="63"/>
      <c r="J103" s="70"/>
      <c r="K103" s="70"/>
      <c r="L103" s="70"/>
    </row>
    <row r="104" spans="1:14" ht="15.75" customHeight="1" x14ac:dyDescent="0.25">
      <c r="A104" s="67"/>
      <c r="B104" s="67"/>
      <c r="C104" s="103" t="s">
        <v>126</v>
      </c>
      <c r="D104" s="104"/>
      <c r="E104" s="104"/>
      <c r="F104" s="104"/>
      <c r="G104" s="96"/>
      <c r="I104" s="63"/>
      <c r="J104" s="65">
        <f>J41</f>
        <v>273.10191829004327</v>
      </c>
      <c r="K104" s="64"/>
      <c r="L104" s="65">
        <f>L41</f>
        <v>10093.8469</v>
      </c>
      <c r="N104" s="59"/>
    </row>
    <row r="105" spans="1:14" ht="15.75" customHeight="1" x14ac:dyDescent="0.25">
      <c r="A105" s="67"/>
      <c r="B105" s="67"/>
      <c r="C105" s="103" t="s">
        <v>127</v>
      </c>
      <c r="D105" s="104"/>
      <c r="E105" s="104"/>
      <c r="F105" s="104"/>
      <c r="G105" s="96"/>
      <c r="I105" s="63"/>
      <c r="J105" s="65">
        <f>J107+J110</f>
        <v>2802.6814406676208</v>
      </c>
      <c r="K105" s="64"/>
      <c r="L105" s="65">
        <f>L107+L110</f>
        <v>35930.376069358899</v>
      </c>
    </row>
    <row r="106" spans="1:14" ht="15.75" customHeight="1" x14ac:dyDescent="0.25">
      <c r="C106" s="101" t="s">
        <v>128</v>
      </c>
      <c r="D106" s="105"/>
      <c r="E106" s="105"/>
      <c r="F106" s="105"/>
      <c r="G106" s="108"/>
      <c r="J106" s="65"/>
      <c r="K106" s="70"/>
      <c r="L106" s="65"/>
    </row>
    <row r="107" spans="1:14" ht="15.75" customHeight="1" x14ac:dyDescent="0.25">
      <c r="C107" s="256" t="s">
        <v>129</v>
      </c>
      <c r="D107" s="257"/>
      <c r="E107" s="257"/>
      <c r="F107" s="257"/>
      <c r="G107" s="257"/>
      <c r="J107" s="65">
        <f>J42</f>
        <v>2802.6814406676208</v>
      </c>
      <c r="K107" s="63">
        <f>Калькуляция!D95</f>
        <v>12.82</v>
      </c>
      <c r="L107" s="65">
        <f>J107*K107</f>
        <v>35930.376069358899</v>
      </c>
      <c r="N107" s="59"/>
    </row>
    <row r="108" spans="1:14" ht="15.75" customHeight="1" x14ac:dyDescent="0.25">
      <c r="A108" s="67"/>
      <c r="B108" s="67"/>
      <c r="C108" s="254" t="s">
        <v>130</v>
      </c>
      <c r="D108" s="255"/>
      <c r="E108" s="255"/>
      <c r="F108" s="255"/>
      <c r="G108" s="255"/>
      <c r="I108" s="63"/>
      <c r="J108" s="65"/>
      <c r="L108" s="65"/>
    </row>
    <row r="109" spans="1:14" ht="15.75" customHeight="1" x14ac:dyDescent="0.25">
      <c r="A109" s="67"/>
      <c r="B109" s="67"/>
      <c r="C109" s="256" t="s">
        <v>131</v>
      </c>
      <c r="D109" s="257"/>
      <c r="E109" s="257"/>
      <c r="F109" s="257"/>
      <c r="G109" s="257"/>
      <c r="I109" s="63"/>
      <c r="J109" s="65">
        <f>J43</f>
        <v>127.3419090909091</v>
      </c>
      <c r="K109" s="70"/>
      <c r="L109" s="65">
        <f>L43</f>
        <v>4706.5569600000008</v>
      </c>
      <c r="N109" s="59"/>
    </row>
    <row r="110" spans="1:14" ht="15.75" customHeight="1" x14ac:dyDescent="0.25">
      <c r="A110" s="67"/>
      <c r="B110" s="67"/>
      <c r="C110" s="256" t="s">
        <v>132</v>
      </c>
      <c r="D110" s="257"/>
      <c r="E110" s="257"/>
      <c r="F110" s="257"/>
      <c r="G110" s="257"/>
      <c r="I110" s="63"/>
      <c r="J110" s="65"/>
      <c r="K110" s="70"/>
      <c r="L110" s="65"/>
    </row>
    <row r="111" spans="1:14" ht="15.75" customHeight="1" x14ac:dyDescent="0.25">
      <c r="A111" s="67"/>
      <c r="B111" s="67"/>
      <c r="C111" s="103" t="s">
        <v>133</v>
      </c>
      <c r="D111" s="104"/>
      <c r="E111" s="104"/>
      <c r="F111" s="104"/>
      <c r="G111" s="96"/>
      <c r="I111" s="63"/>
      <c r="J111" s="65">
        <f>J113+J114</f>
        <v>1862.5746425291968</v>
      </c>
      <c r="K111" s="67"/>
      <c r="L111" s="65">
        <f>L113+L114</f>
        <v>15310.363561589998</v>
      </c>
      <c r="N111" s="59"/>
    </row>
    <row r="112" spans="1:14" ht="15.75" customHeight="1" x14ac:dyDescent="0.25">
      <c r="A112" s="67"/>
      <c r="B112" s="67"/>
      <c r="C112" s="254" t="s">
        <v>128</v>
      </c>
      <c r="D112" s="255"/>
      <c r="E112" s="255"/>
      <c r="F112" s="255"/>
      <c r="G112" s="255"/>
      <c r="I112" s="63"/>
      <c r="J112" s="65"/>
      <c r="K112" s="64"/>
      <c r="L112" s="65"/>
    </row>
    <row r="113" spans="1:12" ht="15.75" customHeight="1" x14ac:dyDescent="0.25">
      <c r="A113" s="67"/>
      <c r="B113" s="67"/>
      <c r="C113" s="232" t="s">
        <v>134</v>
      </c>
      <c r="D113" s="232"/>
      <c r="E113" s="232"/>
      <c r="F113" s="232"/>
      <c r="G113" s="232"/>
      <c r="I113" s="63"/>
      <c r="J113" s="65">
        <f>J44</f>
        <v>1862.5746425291968</v>
      </c>
      <c r="K113" s="65">
        <f>Калькуляция!D94</f>
        <v>8.2200000000000006</v>
      </c>
      <c r="L113" s="65">
        <f>K113*J113</f>
        <v>15310.363561589998</v>
      </c>
    </row>
    <row r="114" spans="1:12" ht="15.75" customHeight="1" x14ac:dyDescent="0.25">
      <c r="A114" s="67"/>
      <c r="B114" s="67"/>
      <c r="C114" s="62" t="s">
        <v>135</v>
      </c>
      <c r="D114" s="104"/>
      <c r="E114" s="104"/>
      <c r="F114" s="104"/>
      <c r="G114" s="96"/>
      <c r="I114" s="63"/>
      <c r="J114" s="65"/>
      <c r="K114" s="64"/>
      <c r="L114" s="65"/>
    </row>
    <row r="115" spans="1:12" ht="15.75" customHeight="1" x14ac:dyDescent="0.25">
      <c r="A115" s="67"/>
      <c r="B115" s="67"/>
      <c r="C115" s="62" t="s">
        <v>136</v>
      </c>
      <c r="D115" s="104"/>
      <c r="E115" s="104"/>
      <c r="F115" s="104"/>
      <c r="G115" s="96"/>
      <c r="I115" s="63"/>
      <c r="J115" s="65"/>
      <c r="K115" s="64"/>
      <c r="L115" s="65"/>
    </row>
    <row r="116" spans="1:12" x14ac:dyDescent="0.25">
      <c r="A116" s="67"/>
      <c r="B116" s="67"/>
      <c r="C116" s="62" t="s">
        <v>155</v>
      </c>
      <c r="D116" s="104"/>
      <c r="E116" s="104"/>
      <c r="F116" s="104"/>
      <c r="G116" s="96"/>
      <c r="I116" s="63"/>
      <c r="J116" s="65">
        <f>J48</f>
        <v>400.44382738095237</v>
      </c>
      <c r="K116" s="70"/>
      <c r="L116" s="65">
        <f>L48</f>
        <v>14800.403860000002</v>
      </c>
    </row>
    <row r="117" spans="1:12" ht="15.75" customHeight="1" x14ac:dyDescent="0.25">
      <c r="A117" s="67"/>
      <c r="B117" s="67"/>
      <c r="C117" s="62" t="s">
        <v>156</v>
      </c>
      <c r="D117" s="104"/>
      <c r="E117" s="104"/>
      <c r="F117" s="104"/>
      <c r="G117" s="96"/>
      <c r="I117" s="63"/>
      <c r="J117" s="65">
        <f>J49</f>
        <v>436.4837718452381</v>
      </c>
      <c r="K117" s="70"/>
      <c r="L117" s="65">
        <f>L49</f>
        <v>16132.440207400003</v>
      </c>
    </row>
    <row r="118" spans="1:12" ht="15.75" customHeight="1" x14ac:dyDescent="0.25">
      <c r="A118" s="67"/>
      <c r="B118" s="67"/>
      <c r="C118" s="62" t="s">
        <v>157</v>
      </c>
      <c r="D118" s="104"/>
      <c r="E118" s="104"/>
      <c r="F118" s="104"/>
      <c r="G118" s="96"/>
      <c r="H118" s="67"/>
      <c r="I118" s="67"/>
      <c r="J118" s="65">
        <f>J50</f>
        <v>260.28848779761904</v>
      </c>
      <c r="K118" s="70"/>
      <c r="L118" s="65">
        <f>L50</f>
        <v>9620.2625090000001</v>
      </c>
    </row>
    <row r="119" spans="1:12" ht="15.75" customHeight="1" x14ac:dyDescent="0.25">
      <c r="A119" s="67"/>
      <c r="B119" s="67"/>
      <c r="C119" s="62" t="s">
        <v>158</v>
      </c>
      <c r="D119" s="67"/>
      <c r="E119" s="67"/>
      <c r="F119" s="67"/>
      <c r="G119" s="93"/>
      <c r="H119" s="67"/>
      <c r="I119" s="67"/>
      <c r="J119" s="59">
        <f>J121+J122</f>
        <v>0</v>
      </c>
      <c r="K119" s="67"/>
      <c r="L119" s="59">
        <f>L121+L122</f>
        <v>0</v>
      </c>
    </row>
    <row r="120" spans="1:12" ht="15.75" customHeight="1" x14ac:dyDescent="0.25">
      <c r="A120" s="67"/>
      <c r="B120" s="67"/>
      <c r="C120" s="61" t="s">
        <v>148</v>
      </c>
      <c r="D120" s="67"/>
      <c r="E120" s="67"/>
      <c r="F120" s="67"/>
      <c r="G120" s="93"/>
      <c r="H120" s="67"/>
      <c r="I120" s="67"/>
      <c r="J120" s="67"/>
      <c r="K120" s="67"/>
      <c r="L120" s="67"/>
    </row>
    <row r="121" spans="1:12" ht="15.75" customHeight="1" x14ac:dyDescent="0.25">
      <c r="A121" s="67"/>
      <c r="B121" s="67"/>
      <c r="C121" s="62" t="s">
        <v>159</v>
      </c>
      <c r="D121" s="67"/>
      <c r="E121" s="67"/>
      <c r="F121" s="67"/>
      <c r="G121" s="93"/>
      <c r="H121" s="67"/>
      <c r="I121" s="67"/>
      <c r="J121" s="59"/>
      <c r="K121" s="67"/>
      <c r="L121" s="59"/>
    </row>
    <row r="122" spans="1:12" ht="15.75" customHeight="1" x14ac:dyDescent="0.25">
      <c r="A122" s="67"/>
      <c r="B122" s="67"/>
      <c r="C122" s="62" t="s">
        <v>160</v>
      </c>
      <c r="D122" s="67"/>
      <c r="E122" s="67"/>
      <c r="F122" s="67"/>
      <c r="G122" s="93"/>
      <c r="H122" s="67"/>
      <c r="I122" s="67"/>
      <c r="J122" s="59"/>
      <c r="K122" s="67"/>
      <c r="L122" s="59"/>
    </row>
    <row r="123" spans="1:12" ht="15.75" customHeight="1" x14ac:dyDescent="0.25">
      <c r="A123" s="67"/>
      <c r="B123" s="67"/>
      <c r="C123" s="62" t="s">
        <v>161</v>
      </c>
      <c r="D123" s="67"/>
      <c r="E123" s="67"/>
      <c r="F123" s="67"/>
      <c r="G123" s="93"/>
      <c r="H123" s="67"/>
      <c r="I123" s="67"/>
      <c r="J123" s="59"/>
      <c r="K123" s="67"/>
      <c r="L123" s="59"/>
    </row>
    <row r="124" spans="1:12" ht="15.75" customHeight="1" x14ac:dyDescent="0.25">
      <c r="A124" s="67"/>
      <c r="B124" s="67"/>
      <c r="C124" s="62"/>
      <c r="D124" s="67"/>
      <c r="E124" s="67"/>
      <c r="F124" s="67"/>
      <c r="G124" s="93"/>
      <c r="H124" s="67"/>
      <c r="I124" s="67"/>
      <c r="J124" s="59"/>
      <c r="K124" s="67"/>
      <c r="L124" s="59"/>
    </row>
    <row r="125" spans="1:12" ht="15.75" customHeight="1" x14ac:dyDescent="0.25">
      <c r="A125" s="67"/>
      <c r="B125" s="67"/>
      <c r="C125" s="62"/>
      <c r="D125" s="67"/>
      <c r="E125" s="67"/>
      <c r="F125" s="67"/>
      <c r="G125" s="93"/>
      <c r="J125" s="59"/>
      <c r="K125" s="67"/>
      <c r="L125" s="59"/>
    </row>
    <row r="126" spans="1:12" ht="15.75" customHeight="1" x14ac:dyDescent="0.25">
      <c r="A126" s="67"/>
      <c r="B126" s="67"/>
      <c r="C126" s="61" t="s">
        <v>162</v>
      </c>
      <c r="D126" s="105"/>
      <c r="E126" s="105"/>
      <c r="F126" s="105"/>
      <c r="G126" s="108"/>
      <c r="J126" s="70"/>
      <c r="K126" s="70"/>
      <c r="L126" s="87"/>
    </row>
    <row r="127" spans="1:12" ht="15.75" customHeight="1" x14ac:dyDescent="0.25">
      <c r="A127" s="67"/>
      <c r="B127" s="67"/>
      <c r="C127" s="62" t="s">
        <v>144</v>
      </c>
      <c r="D127" s="104"/>
      <c r="E127" s="104"/>
      <c r="F127" s="104"/>
      <c r="G127" s="96"/>
      <c r="J127" s="65"/>
      <c r="K127" s="70"/>
      <c r="L127" s="65"/>
    </row>
    <row r="128" spans="1:12" ht="15.75" customHeight="1" x14ac:dyDescent="0.25">
      <c r="A128" s="67"/>
      <c r="C128" s="62" t="s">
        <v>145</v>
      </c>
      <c r="D128" s="104"/>
      <c r="E128" s="104"/>
      <c r="F128" s="104"/>
      <c r="G128" s="96"/>
      <c r="H128" s="67"/>
      <c r="I128" s="67"/>
      <c r="J128" s="65"/>
      <c r="K128" s="70"/>
      <c r="L128" s="65"/>
    </row>
    <row r="129" spans="1:12" ht="15.75" customHeight="1" x14ac:dyDescent="0.25">
      <c r="A129" s="67"/>
      <c r="C129" s="62" t="s">
        <v>163</v>
      </c>
      <c r="D129" s="67"/>
      <c r="E129" s="67"/>
      <c r="F129" s="67"/>
      <c r="G129" s="153">
        <f>G45</f>
        <v>28.67</v>
      </c>
      <c r="H129" s="67"/>
      <c r="I129" s="67"/>
      <c r="J129" s="67"/>
      <c r="K129" s="67"/>
      <c r="L129" s="67"/>
    </row>
    <row r="130" spans="1:12" ht="15.75" customHeight="1" x14ac:dyDescent="0.25">
      <c r="A130" s="67"/>
      <c r="B130" s="67"/>
      <c r="C130" s="62" t="s">
        <v>164</v>
      </c>
      <c r="D130" s="67"/>
      <c r="E130" s="67"/>
      <c r="F130" s="67"/>
      <c r="G130" s="153">
        <f>G46</f>
        <v>10.15</v>
      </c>
      <c r="H130" s="67"/>
      <c r="I130" s="67"/>
      <c r="J130" s="67"/>
      <c r="K130" s="67"/>
      <c r="L130" s="67"/>
    </row>
    <row r="131" spans="1:12" ht="15.75" customHeight="1" x14ac:dyDescent="0.25">
      <c r="A131" s="67"/>
      <c r="B131" s="67"/>
      <c r="C131" s="62"/>
      <c r="D131" s="67"/>
      <c r="E131" s="67"/>
      <c r="F131" s="67"/>
      <c r="G131" s="93"/>
      <c r="H131" s="67"/>
      <c r="I131" s="67"/>
      <c r="J131" s="67"/>
      <c r="K131" s="67"/>
      <c r="L131" s="67"/>
    </row>
    <row r="132" spans="1:12" ht="15.75" customHeight="1" x14ac:dyDescent="0.25">
      <c r="A132" s="67"/>
      <c r="B132" s="67"/>
      <c r="C132" s="62"/>
      <c r="D132" s="67"/>
      <c r="E132" s="67"/>
      <c r="F132" s="67"/>
      <c r="G132" s="93"/>
      <c r="H132" s="67"/>
      <c r="I132" s="67"/>
      <c r="J132" s="67"/>
      <c r="K132" s="67"/>
      <c r="L132" s="67"/>
    </row>
    <row r="133" spans="1:12" ht="15.75" customHeight="1" x14ac:dyDescent="0.25">
      <c r="B133" s="103" t="s">
        <v>165</v>
      </c>
      <c r="C133" s="262"/>
      <c r="D133" s="263"/>
      <c r="E133" s="263"/>
      <c r="F133" s="67"/>
      <c r="G133" s="93"/>
      <c r="H133" s="67"/>
      <c r="I133" s="67"/>
      <c r="J133" s="67"/>
      <c r="K133" s="67"/>
      <c r="L133" s="67"/>
    </row>
    <row r="134" spans="1:12" ht="15.75" customHeight="1" x14ac:dyDescent="0.25">
      <c r="A134" s="67"/>
      <c r="B134" s="67"/>
      <c r="F134" s="67"/>
      <c r="G134" s="93"/>
      <c r="H134" s="67"/>
      <c r="I134" s="67"/>
      <c r="J134" s="67"/>
      <c r="K134" s="67"/>
      <c r="L134" s="67"/>
    </row>
    <row r="135" spans="1:12" ht="15.75" customHeight="1" x14ac:dyDescent="0.25">
      <c r="B135" s="103" t="s">
        <v>166</v>
      </c>
      <c r="C135" s="262"/>
      <c r="D135" s="263"/>
      <c r="E135" s="263"/>
      <c r="F135" s="67"/>
      <c r="G135" s="93"/>
      <c r="H135" s="67"/>
      <c r="I135" s="67"/>
      <c r="J135" s="67"/>
      <c r="K135" s="67"/>
      <c r="L135" s="67"/>
    </row>
    <row r="136" spans="1:12" ht="15.75" customHeight="1" x14ac:dyDescent="0.25">
      <c r="A136" s="67"/>
      <c r="B136" s="67"/>
      <c r="F136" s="67"/>
      <c r="G136" s="93"/>
      <c r="H136" s="67"/>
      <c r="I136" s="67"/>
      <c r="J136" s="67"/>
      <c r="K136" s="67"/>
      <c r="L136" s="67"/>
    </row>
    <row r="137" spans="1:12" ht="15.75" customHeight="1" x14ac:dyDescent="0.25">
      <c r="A137" s="67"/>
      <c r="B137" s="67"/>
      <c r="C137" s="67"/>
      <c r="D137" s="67"/>
      <c r="E137" s="67"/>
      <c r="F137" s="67"/>
      <c r="G137" s="93"/>
      <c r="J137" s="67"/>
      <c r="K137" s="67"/>
      <c r="L137" s="67"/>
    </row>
    <row r="138" spans="1:12" ht="15.75" customHeight="1" x14ac:dyDescent="0.25">
      <c r="A138" s="67"/>
      <c r="B138" s="67"/>
      <c r="D138" s="104"/>
      <c r="E138" s="104"/>
      <c r="F138" s="104"/>
      <c r="G138" s="96"/>
      <c r="J138" s="65"/>
      <c r="L138" s="69"/>
    </row>
    <row r="140" spans="1:12" x14ac:dyDescent="0.25">
      <c r="A140" s="67"/>
      <c r="B140" s="67"/>
    </row>
    <row r="141" spans="1:12" x14ac:dyDescent="0.25">
      <c r="A141" s="67"/>
      <c r="B141" s="67"/>
      <c r="C141" s="67"/>
      <c r="D141" s="67"/>
      <c r="E141" s="67"/>
    </row>
    <row r="142" spans="1:12" x14ac:dyDescent="0.25">
      <c r="A142" s="67"/>
      <c r="B142" s="67"/>
      <c r="C142" s="67"/>
      <c r="D142" s="67"/>
      <c r="E142" s="67"/>
    </row>
    <row r="143" spans="1:12" x14ac:dyDescent="0.25">
      <c r="A143" s="67"/>
      <c r="B143" s="67"/>
      <c r="C143" s="67"/>
      <c r="D143" s="67"/>
      <c r="E143" s="67"/>
    </row>
    <row r="144" spans="1:12" x14ac:dyDescent="0.25">
      <c r="C144" s="67"/>
      <c r="D144" s="67"/>
      <c r="E144" s="67"/>
    </row>
  </sheetData>
  <autoFilter ref="A36:L135">
    <filterColumn colId="4" showButton="0"/>
    <filterColumn colId="5" showButton="0"/>
    <filterColumn colId="7" showButton="0"/>
    <filterColumn colId="8" showButton="0"/>
  </autoFilter>
  <mergeCells count="77">
    <mergeCell ref="C110:G110"/>
    <mergeCell ref="C112:G112"/>
    <mergeCell ref="C113:G113"/>
    <mergeCell ref="C133:E133"/>
    <mergeCell ref="C135:E135"/>
    <mergeCell ref="C107:G107"/>
    <mergeCell ref="C108:G108"/>
    <mergeCell ref="C109:G109"/>
    <mergeCell ref="C90:G90"/>
    <mergeCell ref="C91:G91"/>
    <mergeCell ref="C92:G92"/>
    <mergeCell ref="C93:G93"/>
    <mergeCell ref="C94:G94"/>
    <mergeCell ref="C95:G95"/>
    <mergeCell ref="C89:G89"/>
    <mergeCell ref="C75:G75"/>
    <mergeCell ref="C76:G76"/>
    <mergeCell ref="C77:G77"/>
    <mergeCell ref="C81:G81"/>
    <mergeCell ref="C82:G82"/>
    <mergeCell ref="C83:G83"/>
    <mergeCell ref="C84:G84"/>
    <mergeCell ref="C85:G85"/>
    <mergeCell ref="C86:G86"/>
    <mergeCell ref="C87:G87"/>
    <mergeCell ref="C88:G88"/>
    <mergeCell ref="C74:G74"/>
    <mergeCell ref="C56:G56"/>
    <mergeCell ref="C57:G57"/>
    <mergeCell ref="C58:G58"/>
    <mergeCell ref="C59:G59"/>
    <mergeCell ref="C61:G61"/>
    <mergeCell ref="C65:G65"/>
    <mergeCell ref="C66:G66"/>
    <mergeCell ref="C67:G67"/>
    <mergeCell ref="C68:G68"/>
    <mergeCell ref="C69:G69"/>
    <mergeCell ref="C73:G73"/>
    <mergeCell ref="C52:G52"/>
    <mergeCell ref="C53:G53"/>
    <mergeCell ref="C54:G54"/>
    <mergeCell ref="C55:G55"/>
    <mergeCell ref="L36:L37"/>
    <mergeCell ref="D27:L27"/>
    <mergeCell ref="J31:K31"/>
    <mergeCell ref="J32:K32"/>
    <mergeCell ref="A36:A37"/>
    <mergeCell ref="B36:B37"/>
    <mergeCell ref="C36:C37"/>
    <mergeCell ref="D36:D37"/>
    <mergeCell ref="E36:G36"/>
    <mergeCell ref="H36:J36"/>
    <mergeCell ref="K36:K37"/>
    <mergeCell ref="C25:L25"/>
    <mergeCell ref="A8:E8"/>
    <mergeCell ref="F8:L8"/>
    <mergeCell ref="A10:L10"/>
    <mergeCell ref="B11:K11"/>
    <mergeCell ref="A13:L13"/>
    <mergeCell ref="B14:K14"/>
    <mergeCell ref="B16:K16"/>
    <mergeCell ref="B17:K17"/>
    <mergeCell ref="A19:L19"/>
    <mergeCell ref="B20:K20"/>
    <mergeCell ref="C24:L24"/>
    <mergeCell ref="A5:E5"/>
    <mergeCell ref="F5:L5"/>
    <mergeCell ref="A6:E6"/>
    <mergeCell ref="F6:L6"/>
    <mergeCell ref="A7:E7"/>
    <mergeCell ref="F7:L7"/>
    <mergeCell ref="A2:E2"/>
    <mergeCell ref="F2:L2"/>
    <mergeCell ref="A3:E3"/>
    <mergeCell ref="F3:L3"/>
    <mergeCell ref="A4:E4"/>
    <mergeCell ref="F4:L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Калькуляция</vt:lpstr>
      <vt:lpstr>Выходная форма ЕР</vt:lpstr>
      <vt:lpstr>ЛСР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2023-01-16T07:41:18Z</dcterms:modified>
</cp:coreProperties>
</file>